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e0e8fb0d96402ff/Desktop/"/>
    </mc:Choice>
  </mc:AlternateContent>
  <xr:revisionPtr revIDLastSave="956" documentId="8_{5297DA34-3039-4925-8AF1-971BF8C50477}" xr6:coauthVersionLast="47" xr6:coauthVersionMax="47" xr10:uidLastSave="{4AD99C49-170D-4D23-9A85-D13486F3FC00}"/>
  <workbookProtection workbookAlgorithmName="SHA-512" workbookHashValue="jU4NjVg2YdQVOv3a8AtVhzg5GjdFOnKrhi0s1/FUQsj/v/Q8qI7QGhZIBjPpk7nlW2+imrY3DbYs9ZOJ7O/m5Q==" workbookSaltValue="gksv01/2kXz3nzrUxL/xPA==" workbookSpinCount="100000" lockStructure="1"/>
  <bookViews>
    <workbookView xWindow="-120" yWindow="-120" windowWidth="25440" windowHeight="15270" xr2:uid="{7460C3CD-5947-49DA-A1D9-0E37CBCA9A24}"/>
  </bookViews>
  <sheets>
    <sheet name="Darlehenrechner" sheetId="1" r:id="rId1"/>
    <sheet name="Nebenkostenrechner" sheetId="2" r:id="rId2"/>
    <sheet name="Leistba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9" i="1" l="1"/>
  <c r="I6" i="1"/>
  <c r="H6" i="1" s="1"/>
  <c r="C12" i="2"/>
  <c r="C11" i="2"/>
  <c r="C10" i="2"/>
  <c r="B9" i="2"/>
  <c r="C9" i="2" s="1"/>
  <c r="H5" i="1"/>
  <c r="H7" i="1" s="1"/>
  <c r="E12" i="1"/>
  <c r="E19" i="3"/>
  <c r="E12" i="3"/>
  <c r="E8" i="3"/>
  <c r="E7" i="3"/>
  <c r="E6" i="3"/>
  <c r="E4" i="3"/>
  <c r="E10" i="3" s="1"/>
  <c r="B20" i="1"/>
  <c r="A20" i="1"/>
  <c r="C15" i="2" l="1"/>
  <c r="C17" i="2" s="1"/>
  <c r="C13" i="1"/>
  <c r="H8" i="1"/>
  <c r="C17" i="1" s="1"/>
  <c r="E17" i="1"/>
  <c r="I8" i="1"/>
  <c r="E9" i="3"/>
  <c r="E16" i="3" s="1"/>
  <c r="B15" i="2"/>
  <c r="E17" i="3" l="1"/>
  <c r="E18" i="3" s="1"/>
  <c r="E20" i="3" s="1"/>
  <c r="E28" i="3" s="1"/>
  <c r="F28" i="3" s="1"/>
  <c r="E8" i="1"/>
  <c r="E9" i="1"/>
  <c r="C20" i="1"/>
  <c r="E20" i="1" s="1"/>
  <c r="D20" i="1" s="1"/>
  <c r="F20" i="1" l="1"/>
  <c r="B21" i="1" s="1"/>
  <c r="E22" i="3"/>
  <c r="E29" i="3" s="1"/>
  <c r="F29" i="3" s="1"/>
  <c r="C21" i="1" l="1"/>
  <c r="E21" i="1" s="1"/>
  <c r="D21" i="1" s="1"/>
  <c r="A21" i="1"/>
  <c r="E23" i="3"/>
  <c r="E24" i="3" s="1"/>
  <c r="F21" i="1" l="1"/>
  <c r="B22" i="1" s="1"/>
  <c r="E27" i="3"/>
  <c r="F27" i="3" s="1"/>
  <c r="A22" i="1" l="1"/>
  <c r="C22" i="1"/>
  <c r="E22" i="1" s="1"/>
  <c r="D22" i="1" s="1"/>
  <c r="F22" i="1" l="1"/>
  <c r="B23" i="1" s="1"/>
  <c r="A23" i="1" l="1"/>
  <c r="C23" i="1"/>
  <c r="E23" i="1" s="1"/>
  <c r="D23" i="1" s="1"/>
  <c r="F23" i="1" s="1"/>
  <c r="F9" i="1"/>
  <c r="B24" i="1" l="1"/>
  <c r="A24" i="1" l="1"/>
  <c r="C24" i="1"/>
  <c r="E24" i="1" l="1"/>
  <c r="D24" i="1" s="1"/>
  <c r="F24" i="1" s="1"/>
  <c r="B25" i="1" s="1"/>
  <c r="C25" i="1" l="1"/>
  <c r="A25" i="1"/>
  <c r="E25" i="1" l="1"/>
  <c r="D25" i="1" s="1"/>
  <c r="F25" i="1" s="1"/>
  <c r="B26" i="1" s="1"/>
  <c r="A26" i="1" l="1"/>
  <c r="C26" i="1"/>
  <c r="E26" i="1" l="1"/>
  <c r="D26" i="1" s="1"/>
  <c r="F26" i="1" s="1"/>
  <c r="B27" i="1" s="1"/>
  <c r="C27" i="1" l="1"/>
  <c r="A27" i="1"/>
  <c r="E27" i="1" l="1"/>
  <c r="D27" i="1" s="1"/>
  <c r="F27" i="1" s="1"/>
  <c r="B28" i="1" s="1"/>
  <c r="A28" i="1" l="1"/>
  <c r="C28" i="1"/>
  <c r="E28" i="1" l="1"/>
  <c r="D28" i="1" s="1"/>
  <c r="F28" i="1" s="1"/>
  <c r="B29" i="1" s="1"/>
  <c r="A29" i="1" l="1"/>
  <c r="C29" i="1"/>
  <c r="E29" i="1" l="1"/>
  <c r="D29" i="1" s="1"/>
  <c r="F29" i="1" s="1"/>
  <c r="B30" i="1" s="1"/>
  <c r="C30" i="1" l="1"/>
  <c r="A30" i="1"/>
  <c r="E30" i="1" l="1"/>
  <c r="D30" i="1" s="1"/>
  <c r="F30" i="1" s="1"/>
  <c r="B31" i="1" s="1"/>
  <c r="C31" i="1" l="1"/>
  <c r="A31" i="1"/>
  <c r="E31" i="1" l="1"/>
  <c r="D31" i="1" s="1"/>
  <c r="F31" i="1" s="1"/>
  <c r="B32" i="1" s="1"/>
  <c r="C32" i="1" l="1"/>
  <c r="E32" i="1" s="1"/>
  <c r="D32" i="1" s="1"/>
  <c r="F32" i="1" s="1"/>
  <c r="A32" i="1"/>
  <c r="B33" i="1" l="1"/>
  <c r="C33" i="1" l="1"/>
  <c r="E33" i="1" s="1"/>
  <c r="D33" i="1" s="1"/>
  <c r="F33" i="1" s="1"/>
  <c r="A33" i="1"/>
  <c r="B34" i="1" l="1"/>
  <c r="A34" i="1" l="1"/>
  <c r="C34" i="1"/>
  <c r="E34" i="1" s="1"/>
  <c r="D34" i="1" s="1"/>
  <c r="F34" i="1" s="1"/>
  <c r="B35" i="1" l="1"/>
  <c r="A35" i="1" l="1"/>
  <c r="C35" i="1"/>
  <c r="E35" i="1" l="1"/>
  <c r="D35" i="1" s="1"/>
  <c r="F35" i="1" s="1"/>
  <c r="B36" i="1" s="1"/>
  <c r="C36" i="1" l="1"/>
  <c r="A36" i="1"/>
  <c r="E36" i="1" l="1"/>
  <c r="D36" i="1" s="1"/>
  <c r="F36" i="1" s="1"/>
  <c r="B37" i="1" s="1"/>
  <c r="A37" i="1" l="1"/>
  <c r="C37" i="1"/>
  <c r="E37" i="1" l="1"/>
  <c r="D37" i="1" s="1"/>
  <c r="F37" i="1" s="1"/>
  <c r="B38" i="1" s="1"/>
  <c r="A38" i="1" l="1"/>
  <c r="C38" i="1"/>
  <c r="E38" i="1" s="1"/>
  <c r="D38" i="1" s="1"/>
  <c r="F38" i="1" s="1"/>
  <c r="B39" i="1" l="1"/>
  <c r="A39" i="1" l="1"/>
  <c r="C39" i="1"/>
  <c r="E39" i="1" s="1"/>
  <c r="D39" i="1" s="1"/>
  <c r="F39" i="1" s="1"/>
  <c r="B40" i="1" s="1"/>
  <c r="A40" i="1" l="1"/>
  <c r="C40" i="1"/>
  <c r="E40" i="1" s="1"/>
  <c r="D40" i="1" s="1"/>
  <c r="F40" i="1" s="1"/>
  <c r="B41" i="1" l="1"/>
  <c r="A41" i="1" l="1"/>
  <c r="C41" i="1"/>
  <c r="E41" i="1" s="1"/>
  <c r="D41" i="1" s="1"/>
  <c r="F41" i="1" s="1"/>
  <c r="B42" i="1" s="1"/>
  <c r="A42" i="1" l="1"/>
  <c r="C42" i="1"/>
  <c r="E42" i="1" s="1"/>
  <c r="D42" i="1" s="1"/>
  <c r="F42" i="1" s="1"/>
  <c r="B43" i="1" s="1"/>
  <c r="C43" i="1" l="1"/>
  <c r="E43" i="1" s="1"/>
  <c r="D43" i="1" s="1"/>
  <c r="F43" i="1" s="1"/>
  <c r="A43" i="1"/>
  <c r="B44" i="1" l="1"/>
  <c r="A44" i="1" l="1"/>
  <c r="C44" i="1"/>
  <c r="E44" i="1" s="1"/>
  <c r="D44" i="1" s="1"/>
  <c r="F44" i="1" s="1"/>
  <c r="B45" i="1" s="1"/>
  <c r="A45" i="1" l="1"/>
  <c r="C45" i="1"/>
  <c r="E45" i="1" s="1"/>
  <c r="D45" i="1" s="1"/>
  <c r="F45" i="1" s="1"/>
  <c r="B46" i="1" s="1"/>
  <c r="A46" i="1" l="1"/>
  <c r="C46" i="1"/>
  <c r="E46" i="1" s="1"/>
  <c r="D46" i="1" s="1"/>
  <c r="F46" i="1" s="1"/>
  <c r="B47" i="1" l="1"/>
  <c r="C47" i="1" l="1"/>
  <c r="E47" i="1" s="1"/>
  <c r="D47" i="1" s="1"/>
  <c r="F47" i="1" s="1"/>
  <c r="B48" i="1" s="1"/>
  <c r="A47" i="1"/>
  <c r="A48" i="1" l="1"/>
  <c r="C48" i="1"/>
  <c r="E48" i="1" s="1"/>
  <c r="D48" i="1" s="1"/>
  <c r="F48" i="1" s="1"/>
  <c r="B49" i="1" l="1"/>
  <c r="A49" i="1" l="1"/>
  <c r="C49" i="1"/>
  <c r="E49" i="1" s="1"/>
  <c r="D49" i="1" s="1"/>
  <c r="F49" i="1" s="1"/>
  <c r="B50" i="1" l="1"/>
  <c r="A50" i="1" l="1"/>
  <c r="G50" i="1"/>
  <c r="C50" i="1"/>
  <c r="E50" i="1" s="1"/>
  <c r="D50" i="1" s="1"/>
  <c r="F50" i="1" s="1"/>
  <c r="B51" i="1" s="1"/>
  <c r="C51" i="1" l="1"/>
  <c r="E51" i="1" s="1"/>
  <c r="D51" i="1" s="1"/>
  <c r="F51" i="1" s="1"/>
  <c r="A51" i="1"/>
  <c r="B52" i="1" l="1"/>
  <c r="C52" i="1" l="1"/>
  <c r="E52" i="1" s="1"/>
  <c r="D52" i="1" s="1"/>
  <c r="F52" i="1" s="1"/>
  <c r="A52" i="1"/>
  <c r="B53" i="1" l="1"/>
  <c r="C53" i="1" l="1"/>
  <c r="E53" i="1" s="1"/>
  <c r="D53" i="1" s="1"/>
  <c r="F53" i="1" s="1"/>
  <c r="A53" i="1"/>
  <c r="B54" i="1" l="1"/>
  <c r="A54" i="1" l="1"/>
  <c r="C54" i="1"/>
  <c r="G54" i="1"/>
  <c r="E54" i="1" s="1"/>
  <c r="D54" i="1" s="1"/>
  <c r="F54" i="1" s="1"/>
  <c r="B55" i="1" s="1"/>
  <c r="C55" i="1" l="1"/>
  <c r="A55" i="1"/>
  <c r="G55" i="1"/>
  <c r="E55" i="1" l="1"/>
  <c r="D55" i="1" s="1"/>
  <c r="F55" i="1" s="1"/>
  <c r="B56" i="1" s="1"/>
  <c r="C56" i="1" s="1"/>
  <c r="G56" i="1" l="1"/>
  <c r="A56" i="1"/>
  <c r="E56" i="1"/>
  <c r="D56" i="1" s="1"/>
  <c r="F56" i="1" s="1"/>
  <c r="B57" i="1" s="1"/>
  <c r="G57" i="1" l="1"/>
  <c r="A57" i="1"/>
  <c r="C57" i="1"/>
  <c r="E57" i="1" s="1"/>
  <c r="D57" i="1" s="1"/>
  <c r="F57" i="1" s="1"/>
  <c r="B58" i="1" s="1"/>
  <c r="C58" i="1" l="1"/>
  <c r="G58" i="1"/>
  <c r="A58" i="1"/>
  <c r="E58" i="1" l="1"/>
  <c r="D58" i="1" s="1"/>
  <c r="F58" i="1" s="1"/>
  <c r="B59" i="1" s="1"/>
  <c r="G59" i="1" s="1"/>
  <c r="E15" i="1" s="1"/>
  <c r="C59" i="1" l="1"/>
  <c r="E10" i="1" s="1"/>
  <c r="E11" i="1" s="1"/>
  <c r="A59" i="1"/>
  <c r="J10" i="1" s="1" a="1"/>
  <c r="E59" i="1"/>
  <c r="G60" i="1"/>
  <c r="C60" i="1" l="1"/>
  <c r="E60" i="1"/>
  <c r="J11" i="1" a="1"/>
  <c r="D59" i="1"/>
  <c r="B12" i="1" l="1"/>
  <c r="F59" i="1"/>
  <c r="D60" i="1"/>
  <c r="E16" i="1" l="1"/>
  <c r="J12" i="1" a="1"/>
  <c r="E13" i="1" a="1"/>
  <c r="E13" i="1" l="1"/>
  <c r="J12" i="1"/>
  <c r="J11" i="1"/>
  <c r="J10" i="1"/>
  <c r="B10" i="1" l="1"/>
  <c r="B11" i="1" s="1"/>
  <c r="F11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<sst xmlns="http://schemas.openxmlformats.org/spreadsheetml/2006/main" count="152" uniqueCount="141">
  <si>
    <t>ANNUITÄTENDARLEHEN-RECHNER</t>
  </si>
  <si>
    <t>Rate (aus Tilg.)</t>
  </si>
  <si>
    <t>Tilg. (aus Rate)</t>
  </si>
  <si>
    <t>EINGABEN</t>
  </si>
  <si>
    <t>ERGEBNISSE</t>
  </si>
  <si>
    <t>Aktive Rate</t>
  </si>
  <si>
    <t>Rate OK?</t>
  </si>
  <si>
    <t>Kreditsumme (€)</t>
  </si>
  <si>
    <t>Modus ▼</t>
  </si>
  <si>
    <t>Monatliche Rate</t>
  </si>
  <si>
    <t>Eff. Tilgung</t>
  </si>
  <si>
    <t>Zinssatz p.a. (%)</t>
  </si>
  <si>
    <t>Laufzeit (Jahre)</t>
  </si>
  <si>
    <t>Gesamtzinsen</t>
  </si>
  <si>
    <t>Endjahr</t>
  </si>
  <si>
    <t>Gesamtkosten</t>
  </si>
  <si>
    <t>Gesamttilgung</t>
  </si>
  <si>
    <t>Effektiver Jahreszins</t>
  </si>
  <si>
    <t>Monatliche Rate (€)</t>
  </si>
  <si>
    <t>Restschuld am Ende</t>
  </si>
  <si>
    <t>Startjahr</t>
  </si>
  <si>
    <t>Startmonat</t>
  </si>
  <si>
    <t>Summe Sondertilgungen</t>
  </si>
  <si>
    <t>Zinsfestschreibung (Jahre)</t>
  </si>
  <si>
    <t>Restschuld n. Zinsbindung</t>
  </si>
  <si>
    <t>Anfangstilgung (%)</t>
  </si>
  <si>
    <t>Effektive Tilgung</t>
  </si>
  <si>
    <t>TILGUNGSPLAN (JÄHRLICH)</t>
  </si>
  <si>
    <t>Jahr</t>
  </si>
  <si>
    <t>Restschuld Anfang</t>
  </si>
  <si>
    <t>Zinsen</t>
  </si>
  <si>
    <t>Tilgung</t>
  </si>
  <si>
    <t>Annuität</t>
  </si>
  <si>
    <t>Restschuld Ende</t>
  </si>
  <si>
    <t>Sondertilgung</t>
  </si>
  <si>
    <t>SUMME</t>
  </si>
  <si>
    <t>-</t>
  </si>
  <si>
    <t>GRAFISCHE ÜBERSICHT</t>
  </si>
  <si>
    <t>Annuität (jährl. max.)</t>
  </si>
  <si>
    <t>⚠️ Haftungsausschluss: Alle Angaben ohne Gewähr. Diese Tabelle dient ausschließlich als Rechenhilfe und stellt keine Beratungsleistung dar.</t>
  </si>
  <si>
    <t>KAUFNEBENKOSTEN-RECHNER</t>
  </si>
  <si>
    <t>Kaufpreis (€)</t>
  </si>
  <si>
    <t>Bundesland</t>
  </si>
  <si>
    <t>NRW</t>
  </si>
  <si>
    <t>GRUNDERWERBSTEUER-SÄTZE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</si>
  <si>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</si>
  <si>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</si>
  <si>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</si>
  <si>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</si>
  <si>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</si>
  <si>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</si>
  <si>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</si>
  <si>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Mecklenburg-Vorp.</t>
  </si>
  <si>
    <t>Niedersachsen</t>
  </si>
  <si>
    <t>Rheinland-Pfalz</t>
  </si>
  <si>
    <t>Saarland</t>
  </si>
  <si>
    <t>Sachsen</t>
  </si>
  <si>
    <t>Sachsen-Anhalt</t>
  </si>
  <si>
    <t>Schleswig-Holstein</t>
  </si>
  <si>
    <t>Thüringen</t>
  </si>
  <si>
    <t>KOSTENÜBERSICHT</t>
  </si>
  <si>
    <t>Kostenart</t>
  </si>
  <si>
    <t>Prozent</t>
  </si>
  <si>
    <t>Betrag</t>
  </si>
  <si>
    <t>Grunderwerbsteuer</t>
  </si>
  <si>
    <t>Notarkosten</t>
  </si>
  <si>
    <t>Grundbuchkosten</t>
  </si>
  <si>
    <t>Maklerprovision</t>
  </si>
  <si>
    <t>SUMME NEBENKOSTEN</t>
  </si>
  <si>
    <t>GESAMTKOSTEN (Kaufpreis + Nebenkosten)</t>
  </si>
  <si>
    <t>Sonstiges</t>
  </si>
  <si>
    <t>💡 Gelb markierte Felder können angepasst werden. Sonstiges (C13) für weitere Kosten nutzen.</t>
  </si>
  <si>
    <t>ℹ️ Hinweis zu "Sonstiges": Je nach Objekt können weitere Kosten anfallen, z.B.:</t>
  </si>
  <si>
    <t xml:space="preserve">   • Erschließungskosten (Wasser, Abwasser, Strom, Gas)</t>
  </si>
  <si>
    <t xml:space="preserve">   • Vermessungsleistungen</t>
  </si>
  <si>
    <t xml:space="preserve">   • Bodengutachten / Mehrgründung bei schwierigem Baugrund</t>
  </si>
  <si>
    <t xml:space="preserve">   • Außenanlagen (Garten, Einfahrt, Zäune, Terrasse)</t>
  </si>
  <si>
    <t xml:space="preserve">   • Baunebenkosten (Baustrom, Bauwasser, Versicherungen)</t>
  </si>
  <si>
    <t xml:space="preserve">   • Küche, Einbauschränke und sonstige Ausstattung</t>
  </si>
  <si>
    <t>⚠️ HAFTUNGSAUSSCHLUSS</t>
  </si>
  <si>
    <t>Alle Angaben ohne Gewähr. Diese Tabelle dient ausschließlich als unverbindliche Rechenhilfe</t>
  </si>
  <si>
    <t>und stellt keine Finanz-, Steuer- oder Rechtsberatung dar. Die tatsächlichen Kosten können</t>
  </si>
  <si>
    <t>je nach Objekt, Region und individueller Situation abweichen. Bitte konsultieren Sie für</t>
  </si>
  <si>
    <t>verbindliche Auskünfte einen Notar, Steuerberater oder Finanzierungsexperten.</t>
  </si>
  <si>
    <r>
      <t xml:space="preserve">📧 Für eine ausführliche Beratung kontaktieren Sie bitte </t>
    </r>
    <r>
      <rPr>
        <b/>
        <i/>
        <sz val="11"/>
        <color theme="3" tint="0.249977111117893"/>
        <rFont val="Aptos Narrow"/>
        <family val="2"/>
        <scheme val="minor"/>
      </rPr>
      <t>Info@Immo-Finanz24.de</t>
    </r>
    <r>
      <rPr>
        <i/>
        <sz val="9"/>
        <color rgb="FF666666"/>
        <rFont val="Aptos Narrow"/>
        <family val="2"/>
        <scheme val="minor"/>
      </rPr>
      <t xml:space="preserve"> zur Terminvereinbarung mit einem Berater</t>
    </r>
  </si>
  <si>
    <r>
      <t xml:space="preserve">📧 </t>
    </r>
    <r>
      <rPr>
        <sz val="9"/>
        <color theme="1"/>
        <rFont val="Aptos Narrow"/>
        <family val="2"/>
        <scheme val="minor"/>
      </rPr>
      <t>Für eine ausführliche Beratung kontaktieren Sie bitte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3" tint="0.249977111117893"/>
        <rFont val="Aptos Narrow"/>
        <family val="2"/>
        <scheme val="minor"/>
      </rPr>
      <t xml:space="preserve">Info@Immo-Finanz24.de </t>
    </r>
    <r>
      <rPr>
        <sz val="9"/>
        <color theme="1"/>
        <rFont val="Aptos Narrow"/>
        <family val="2"/>
        <scheme val="minor"/>
      </rPr>
      <t>zur Terminvereinbarung mit einem Berater</t>
    </r>
  </si>
  <si>
    <t>LEISTBARKEITSRECHNER – Wieviel Immobilie kann ich mir leisten?</t>
  </si>
  <si>
    <t>KREDITNEHMER 1</t>
  </si>
  <si>
    <t>Netto-Monatseinkommen</t>
  </si>
  <si>
    <t>Sonstige Einnahmen (mtl.)</t>
  </si>
  <si>
    <t>KREDITNEHMER 2 (optional)</t>
  </si>
  <si>
    <t>MONATLICHE AUSGABEN</t>
  </si>
  <si>
    <t>Lebenshaltungskosten</t>
  </si>
  <si>
    <t>Bestehende Kredite</t>
  </si>
  <si>
    <t>Versicherungen</t>
  </si>
  <si>
    <t>Sonstige Ausgaben</t>
  </si>
  <si>
    <t>Puffer/Reserve (mtl.)</t>
  </si>
  <si>
    <t>FINANZIERUNGSPARAMETER</t>
  </si>
  <si>
    <t>Zinssatz p.a.</t>
  </si>
  <si>
    <t>Anfangstilgung</t>
  </si>
  <si>
    <t>Gewünschte Laufzeit (Jahre)</t>
  </si>
  <si>
    <t>Eigenkapital</t>
  </si>
  <si>
    <t>Kaufnebenkosten (%)</t>
  </si>
  <si>
    <t>(ca. 10-15%)</t>
  </si>
  <si>
    <t>ZWISCHENBERECHNUNGEN</t>
  </si>
  <si>
    <t>Gesamteinkommen (mtl.)</t>
  </si>
  <si>
    <t>Gesamtausgaben (mtl.)</t>
  </si>
  <si>
    <t>Verfügbar für Kredit (mtl.)</t>
  </si>
  <si>
    <t>Maximale Kreditsumme</t>
  </si>
  <si>
    <t>Maximaler Kaufpreis</t>
  </si>
  <si>
    <t>Kaufnebenkosten</t>
  </si>
  <si>
    <t>Benötigter Kredit</t>
  </si>
  <si>
    <t>Jährliche Belastung</t>
  </si>
  <si>
    <t>KENNZAHLEN</t>
  </si>
  <si>
    <t>Kreditbelastungsquote</t>
  </si>
  <si>
    <t>Eigenkapitalquote</t>
  </si>
  <si>
    <t>Kredit / Jahreseinkommen</t>
  </si>
  <si>
    <t>💡 HINWEISE</t>
  </si>
  <si>
    <t>• Puffer einplanen: Unvorhergesehene Kosten, Reparaturen, Zinssteigerungen</t>
  </si>
  <si>
    <t>und stellt keine Finanz- oder Kreditberatung dar. Die tatsächliche Kreditvergabe hängt von</t>
  </si>
  <si>
    <t>vielen weiteren Faktoren ab (Bonität, Sicherheiten, Objektbewertung etc.).</t>
  </si>
  <si>
    <t>Anzahl Kinder</t>
  </si>
  <si>
    <t>Gesamtzahl Kinder</t>
  </si>
  <si>
    <t>Kinderpauschale (250€/Kind)</t>
  </si>
  <si>
    <t>• Kinderpauschale: Banken rechnen ca. 200-300€ pro Kind zusätzlich</t>
  </si>
  <si>
    <t>Max. 40% vom Einkommen</t>
  </si>
  <si>
    <t>• Kreditbelastungsquote: Automatisch auf max. 40% des Nettoeinkommens begrenzt</t>
  </si>
  <si>
    <t>Gehälter pro Jahr</t>
  </si>
  <si>
    <t>Gehälter</t>
  </si>
  <si>
    <t>Annuitätenfaktor (Laufzeit)</t>
  </si>
  <si>
    <t>Anzahl Autos</t>
  </si>
  <si>
    <t>× 250 €</t>
  </si>
  <si>
    <t>Notw. Modernisierungen (€)</t>
  </si>
  <si>
    <t>Gesamtkosten (inkl. Mod.)</t>
  </si>
  <si>
    <t>Modernisierungen</t>
  </si>
  <si>
    <r>
      <t xml:space="preserve">📧 Für eine ausführliche Beratung kontaktieren Sie bitte </t>
    </r>
    <r>
      <rPr>
        <b/>
        <sz val="11"/>
        <color theme="3" tint="0.249977111117893"/>
        <rFont val="Aptos Narrow"/>
        <family val="2"/>
        <scheme val="minor"/>
      </rPr>
      <t>Info@Immo-Finanz24.de</t>
    </r>
  </si>
  <si>
    <t>• Eigenkapital teilweise auch als Eigenleistung möglich</t>
  </si>
  <si>
    <t>Rate (aus Laufz.)</t>
  </si>
  <si>
    <t>💡 Modus in C9 wählen: "Rate" → B13 eingeben | "Tilgung" → B17 eingeben | "Laufzeit" → C10 eingeben (Jahre)</t>
  </si>
  <si>
    <t>Hilfswerte Laufzeit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</si>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</sst>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\ \€"/>
    <numFmt numFmtId="165" formatCode="0.0"/>
    <numFmt numFmtId="166" formatCode="#,##0.00\ \€;#,##0.00\ \€;&quot;← Eingabe&quot;"/>
    <numFmt numFmtId="167" formatCode="#.##000\ \€"/>
    <numFmt numFmtId="168" formatCode="0.0%"/>
    <numFmt numFmtId="169" formatCode="0.0000%"/>
    <numFmt numFmtId="170" formatCode="0;\-0;&quot;??&quot;"/>
  </numFmts>
  <fonts count="2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rgb="FFFFFFF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i/>
      <sz val="11"/>
      <color rgb="FF666666"/>
      <name val="Aptos Narrow"/>
      <family val="2"/>
      <scheme val="minor"/>
    </font>
    <font>
      <sz val="8"/>
      <color rgb="FF999999"/>
      <name val="Aptos Narrow"/>
      <family val="2"/>
      <scheme val="minor"/>
    </font>
    <font>
      <b/>
      <sz val="9"/>
      <color rgb="FF666666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88888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9"/>
      <color rgb="FF666666"/>
      <name val="Aptos Narrow"/>
      <family val="2"/>
      <scheme val="minor"/>
    </font>
    <font>
      <i/>
      <sz val="11"/>
      <color rgb="FF999999"/>
      <name val="Aptos Narrow"/>
      <family val="2"/>
      <scheme val="minor"/>
    </font>
    <font>
      <b/>
      <i/>
      <sz val="11"/>
      <color theme="3" tint="0.249977111117893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i/>
      <sz val="11"/>
      <color rgb="FF2E7D32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i/>
      <sz val="9"/>
      <color rgb="FF00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FFFFD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EBF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2E75B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/>
    <xf numFmtId="165" fontId="0" fillId="0" borderId="0" xfId="0" applyNumberFormat="1"/>
    <xf numFmtId="0" fontId="1" fillId="12" borderId="0" xfId="0" applyFont="1" applyFill="1"/>
    <xf numFmtId="0" fontId="1" fillId="6" borderId="0" xfId="0" applyFont="1" applyFill="1"/>
    <xf numFmtId="164" fontId="0" fillId="13" borderId="0" xfId="0" applyNumberFormat="1" applyFill="1"/>
    <xf numFmtId="164" fontId="0" fillId="0" borderId="0" xfId="0" applyNumberFormat="1"/>
    <xf numFmtId="1" fontId="0" fillId="0" borderId="0" xfId="0" applyNumberFormat="1"/>
    <xf numFmtId="164" fontId="1" fillId="5" borderId="0" xfId="0" applyNumberFormat="1" applyFont="1" applyFill="1"/>
    <xf numFmtId="169" fontId="0" fillId="0" borderId="0" xfId="0" applyNumberFormat="1"/>
    <xf numFmtId="0" fontId="18" fillId="11" borderId="2" xfId="0" applyFont="1" applyFill="1" applyBorder="1"/>
    <xf numFmtId="0" fontId="0" fillId="0" borderId="6" xfId="0" applyBorder="1"/>
    <xf numFmtId="0" fontId="0" fillId="0" borderId="3" xfId="0" applyBorder="1"/>
    <xf numFmtId="164" fontId="1" fillId="14" borderId="7" xfId="0" applyNumberFormat="1" applyFont="1" applyFill="1" applyBorder="1"/>
    <xf numFmtId="164" fontId="3" fillId="5" borderId="18" xfId="0" applyNumberFormat="1" applyFont="1" applyFill="1" applyBorder="1"/>
    <xf numFmtId="164" fontId="0" fillId="0" borderId="7" xfId="0" applyNumberFormat="1" applyBorder="1"/>
    <xf numFmtId="164" fontId="1" fillId="0" borderId="7" xfId="0" applyNumberFormat="1" applyFont="1" applyBorder="1"/>
    <xf numFmtId="0" fontId="0" fillId="0" borderId="4" xfId="0" applyBorder="1"/>
    <xf numFmtId="164" fontId="0" fillId="0" borderId="8" xfId="0" applyNumberFormat="1" applyBorder="1"/>
    <xf numFmtId="0" fontId="1" fillId="10" borderId="0" xfId="0" applyFont="1" applyFill="1"/>
    <xf numFmtId="168" fontId="0" fillId="0" borderId="0" xfId="0" applyNumberFormat="1"/>
    <xf numFmtId="0" fontId="5" fillId="0" borderId="0" xfId="0" applyFont="1"/>
    <xf numFmtId="0" fontId="1" fillId="0" borderId="0" xfId="0" applyFont="1"/>
    <xf numFmtId="164" fontId="0" fillId="13" borderId="0" xfId="0" applyNumberFormat="1" applyFill="1" applyProtection="1">
      <protection locked="0"/>
    </xf>
    <xf numFmtId="165" fontId="0" fillId="10" borderId="0" xfId="0" applyNumberFormat="1" applyFill="1" applyProtection="1">
      <protection locked="0"/>
    </xf>
    <xf numFmtId="1" fontId="0" fillId="13" borderId="0" xfId="0" applyNumberFormat="1" applyFill="1" applyProtection="1">
      <protection locked="0"/>
    </xf>
    <xf numFmtId="1" fontId="0" fillId="10" borderId="0" xfId="0" applyNumberFormat="1" applyFill="1" applyProtection="1">
      <protection locked="0"/>
    </xf>
    <xf numFmtId="10" fontId="0" fillId="13" borderId="0" xfId="0" applyNumberFormat="1" applyFill="1" applyProtection="1">
      <protection locked="0"/>
    </xf>
    <xf numFmtId="168" fontId="0" fillId="13" borderId="0" xfId="0" applyNumberFormat="1" applyFill="1" applyProtection="1">
      <protection locked="0"/>
    </xf>
    <xf numFmtId="164" fontId="0" fillId="10" borderId="0" xfId="0" applyNumberFormat="1" applyFill="1" applyProtection="1">
      <protection locked="0"/>
    </xf>
    <xf numFmtId="0" fontId="1" fillId="3" borderId="0" xfId="0" applyFont="1" applyFill="1"/>
    <xf numFmtId="0" fontId="1" fillId="3" borderId="15" xfId="0" applyFont="1" applyFill="1" applyBorder="1"/>
    <xf numFmtId="0" fontId="0" fillId="0" borderId="15" xfId="0" applyBorder="1"/>
    <xf numFmtId="0" fontId="8" fillId="0" borderId="16" xfId="0" applyFont="1" applyBorder="1"/>
    <xf numFmtId="168" fontId="8" fillId="0" borderId="16" xfId="0" applyNumberFormat="1" applyFont="1" applyBorder="1"/>
    <xf numFmtId="10" fontId="0" fillId="10" borderId="0" xfId="0" applyNumberFormat="1" applyFill="1"/>
    <xf numFmtId="10" fontId="1" fillId="6" borderId="0" xfId="0" applyNumberFormat="1" applyFont="1" applyFill="1"/>
    <xf numFmtId="164" fontId="1" fillId="6" borderId="0" xfId="0" applyNumberFormat="1" applyFont="1" applyFill="1"/>
    <xf numFmtId="0" fontId="1" fillId="5" borderId="0" xfId="0" applyFont="1" applyFill="1"/>
    <xf numFmtId="0" fontId="0" fillId="5" borderId="0" xfId="0" applyFill="1"/>
    <xf numFmtId="164" fontId="3" fillId="5" borderId="0" xfId="0" applyNumberFormat="1" applyFont="1" applyFill="1"/>
    <xf numFmtId="0" fontId="11" fillId="0" borderId="0" xfId="0" applyFont="1"/>
    <xf numFmtId="0" fontId="8" fillId="0" borderId="17" xfId="0" applyFont="1" applyBorder="1"/>
    <xf numFmtId="168" fontId="8" fillId="0" borderId="17" xfId="0" applyNumberFormat="1" applyFont="1" applyBorder="1"/>
    <xf numFmtId="0" fontId="8" fillId="0" borderId="0" xfId="0" applyFont="1"/>
    <xf numFmtId="0" fontId="16" fillId="0" borderId="0" xfId="0" applyFont="1"/>
    <xf numFmtId="0" fontId="0" fillId="10" borderId="0" xfId="0" applyFill="1" applyProtection="1">
      <protection locked="0"/>
    </xf>
    <xf numFmtId="168" fontId="0" fillId="10" borderId="0" xfId="0" applyNumberFormat="1" applyFill="1" applyProtection="1">
      <protection locked="0"/>
    </xf>
    <xf numFmtId="10" fontId="0" fillId="10" borderId="0" xfId="0" applyNumberFormat="1" applyFill="1" applyProtection="1">
      <protection locked="0"/>
    </xf>
    <xf numFmtId="0" fontId="0" fillId="2" borderId="0" xfId="0" applyFill="1"/>
    <xf numFmtId="0" fontId="6" fillId="0" borderId="0" xfId="0" applyFont="1"/>
    <xf numFmtId="0" fontId="9" fillId="0" borderId="0" xfId="0" applyFont="1"/>
    <xf numFmtId="10" fontId="0" fillId="0" borderId="0" xfId="0" applyNumberFormat="1"/>
    <xf numFmtId="167" fontId="9" fillId="0" borderId="0" xfId="0" applyNumberFormat="1" applyFont="1"/>
    <xf numFmtId="0" fontId="3" fillId="3" borderId="2" xfId="0" applyFont="1" applyFill="1" applyBorder="1"/>
    <xf numFmtId="0" fontId="0" fillId="3" borderId="6" xfId="0" applyFill="1" applyBorder="1"/>
    <xf numFmtId="0" fontId="3" fillId="5" borderId="2" xfId="0" applyFont="1" applyFill="1" applyBorder="1"/>
    <xf numFmtId="0" fontId="0" fillId="5" borderId="6" xfId="0" applyFill="1" applyBorder="1"/>
    <xf numFmtId="4" fontId="0" fillId="0" borderId="0" xfId="0" applyNumberFormat="1"/>
    <xf numFmtId="0" fontId="1" fillId="0" borderId="3" xfId="0" applyFont="1" applyBorder="1"/>
    <xf numFmtId="0" fontId="7" fillId="0" borderId="0" xfId="0" applyFont="1" applyAlignment="1">
      <alignment horizontal="center"/>
    </xf>
    <xf numFmtId="164" fontId="0" fillId="6" borderId="7" xfId="0" applyNumberFormat="1" applyFill="1" applyBorder="1" applyAlignment="1">
      <alignment horizontal="right"/>
    </xf>
    <xf numFmtId="0" fontId="12" fillId="0" borderId="0" xfId="0" applyFont="1"/>
    <xf numFmtId="0" fontId="1" fillId="0" borderId="4" xfId="0" applyFont="1" applyBorder="1"/>
    <xf numFmtId="1" fontId="0" fillId="6" borderId="8" xfId="0" applyNumberFormat="1" applyFill="1" applyBorder="1" applyAlignment="1">
      <alignment horizontal="right"/>
    </xf>
    <xf numFmtId="0" fontId="10" fillId="0" borderId="0" xfId="0" applyFont="1"/>
    <xf numFmtId="164" fontId="0" fillId="6" borderId="8" xfId="0" applyNumberFormat="1" applyFill="1" applyBorder="1" applyAlignment="1">
      <alignment horizontal="right"/>
    </xf>
    <xf numFmtId="10" fontId="0" fillId="6" borderId="7" xfId="0" applyNumberFormat="1" applyFill="1" applyBorder="1" applyAlignment="1">
      <alignment horizontal="right"/>
    </xf>
    <xf numFmtId="0" fontId="4" fillId="2" borderId="5" xfId="0" applyFont="1" applyFill="1" applyBorder="1"/>
    <xf numFmtId="0" fontId="0" fillId="2" borderId="1" xfId="0" applyFill="1" applyBorder="1"/>
    <xf numFmtId="0" fontId="1" fillId="2" borderId="11" xfId="0" applyFont="1" applyFill="1" applyBorder="1"/>
    <xf numFmtId="164" fontId="0" fillId="6" borderId="11" xfId="0" applyNumberFormat="1" applyFill="1" applyBorder="1" applyAlignment="1">
      <alignment horizontal="right"/>
    </xf>
    <xf numFmtId="0" fontId="0" fillId="2" borderId="9" xfId="0" applyFill="1" applyBorder="1"/>
    <xf numFmtId="0" fontId="0" fillId="2" borderId="5" xfId="0" applyFill="1" applyBorder="1"/>
    <xf numFmtId="0" fontId="4" fillId="2" borderId="4" xfId="0" applyFont="1" applyFill="1" applyBorder="1"/>
    <xf numFmtId="0" fontId="1" fillId="2" borderId="3" xfId="0" applyFont="1" applyFill="1" applyBorder="1"/>
    <xf numFmtId="10" fontId="5" fillId="0" borderId="0" xfId="0" applyNumberFormat="1" applyFont="1" applyAlignment="1">
      <alignment horizontal="left"/>
    </xf>
    <xf numFmtId="10" fontId="0" fillId="6" borderId="0" xfId="0" applyNumberFormat="1" applyFill="1"/>
    <xf numFmtId="1" fontId="4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right"/>
    </xf>
    <xf numFmtId="164" fontId="0" fillId="2" borderId="5" xfId="0" applyNumberFormat="1" applyFill="1" applyBorder="1" applyAlignment="1">
      <alignment horizontal="right"/>
    </xf>
    <xf numFmtId="1" fontId="1" fillId="3" borderId="5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1" fontId="0" fillId="7" borderId="5" xfId="0" applyNumberFormat="1" applyFill="1" applyBorder="1" applyAlignment="1">
      <alignment horizontal="center"/>
    </xf>
    <xf numFmtId="164" fontId="0" fillId="7" borderId="5" xfId="0" applyNumberFormat="1" applyFill="1" applyBorder="1" applyAlignment="1">
      <alignment horizontal="right"/>
    </xf>
    <xf numFmtId="1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right"/>
    </xf>
    <xf numFmtId="1" fontId="0" fillId="0" borderId="13" xfId="0" applyNumberFormat="1" applyBorder="1" applyAlignment="1">
      <alignment horizontal="center"/>
    </xf>
    <xf numFmtId="164" fontId="0" fillId="0" borderId="13" xfId="0" applyNumberFormat="1" applyBorder="1" applyAlignment="1">
      <alignment horizontal="right"/>
    </xf>
    <xf numFmtId="1" fontId="0" fillId="7" borderId="14" xfId="0" applyNumberFormat="1" applyFill="1" applyBorder="1" applyAlignment="1">
      <alignment horizontal="center"/>
    </xf>
    <xf numFmtId="164" fontId="0" fillId="7" borderId="14" xfId="0" applyNumberFormat="1" applyFill="1" applyBorder="1" applyAlignment="1">
      <alignment horizontal="right"/>
    </xf>
    <xf numFmtId="1" fontId="0" fillId="0" borderId="11" xfId="0" applyNumberFormat="1" applyBorder="1" applyAlignment="1">
      <alignment horizontal="center"/>
    </xf>
    <xf numFmtId="164" fontId="0" fillId="0" borderId="11" xfId="0" applyNumberFormat="1" applyBorder="1" applyAlignment="1">
      <alignment horizontal="right"/>
    </xf>
    <xf numFmtId="1" fontId="0" fillId="7" borderId="13" xfId="0" applyNumberFormat="1" applyFill="1" applyBorder="1" applyAlignment="1">
      <alignment horizontal="center"/>
    </xf>
    <xf numFmtId="164" fontId="0" fillId="7" borderId="13" xfId="0" applyNumberFormat="1" applyFill="1" applyBorder="1" applyAlignment="1">
      <alignment horizontal="right"/>
    </xf>
    <xf numFmtId="1" fontId="0" fillId="0" borderId="14" xfId="0" applyNumberFormat="1" applyBorder="1" applyAlignment="1">
      <alignment horizontal="center"/>
    </xf>
    <xf numFmtId="164" fontId="0" fillId="0" borderId="14" xfId="0" applyNumberFormat="1" applyBorder="1" applyAlignment="1">
      <alignment horizontal="right"/>
    </xf>
    <xf numFmtId="1" fontId="0" fillId="7" borderId="11" xfId="0" applyNumberFormat="1" applyFill="1" applyBorder="1" applyAlignment="1">
      <alignment horizontal="center"/>
    </xf>
    <xf numFmtId="164" fontId="0" fillId="7" borderId="1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164" fontId="0" fillId="7" borderId="10" xfId="0" applyNumberForma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0" borderId="0" xfId="0" applyNumberFormat="1" applyFont="1"/>
    <xf numFmtId="164" fontId="0" fillId="4" borderId="7" xfId="0" applyNumberFormat="1" applyFill="1" applyBorder="1" applyAlignment="1" applyProtection="1">
      <alignment horizontal="right"/>
      <protection locked="0"/>
    </xf>
    <xf numFmtId="10" fontId="0" fillId="4" borderId="0" xfId="0" applyNumberFormat="1" applyFill="1" applyAlignment="1" applyProtection="1">
      <alignment horizontal="right"/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164" fontId="0" fillId="4" borderId="8" xfId="0" applyNumberFormat="1" applyFill="1" applyBorder="1" applyAlignment="1" applyProtection="1">
      <alignment horizontal="right"/>
      <protection locked="0"/>
    </xf>
    <xf numFmtId="1" fontId="0" fillId="4" borderId="7" xfId="0" applyNumberFormat="1" applyFill="1" applyBorder="1" applyAlignment="1" applyProtection="1">
      <alignment horizontal="right"/>
      <protection locked="0"/>
    </xf>
    <xf numFmtId="1" fontId="0" fillId="4" borderId="5" xfId="0" applyNumberFormat="1" applyFill="1" applyBorder="1" applyAlignment="1" applyProtection="1">
      <alignment horizontal="right"/>
      <protection locked="0"/>
    </xf>
    <xf numFmtId="1" fontId="0" fillId="8" borderId="12" xfId="0" applyNumberFormat="1" applyFill="1" applyBorder="1" applyAlignment="1" applyProtection="1">
      <alignment horizontal="right"/>
      <protection locked="0"/>
    </xf>
    <xf numFmtId="10" fontId="0" fillId="4" borderId="8" xfId="0" applyNumberFormat="1" applyFill="1" applyBorder="1" applyAlignment="1" applyProtection="1">
      <alignment horizontal="right"/>
      <protection locked="0"/>
    </xf>
    <xf numFmtId="164" fontId="0" fillId="4" borderId="5" xfId="0" applyNumberFormat="1" applyFill="1" applyBorder="1" applyAlignment="1" applyProtection="1">
      <alignment horizontal="right"/>
      <protection locked="0"/>
    </xf>
    <xf numFmtId="164" fontId="0" fillId="4" borderId="13" xfId="0" applyNumberFormat="1" applyFill="1" applyBorder="1" applyAlignment="1" applyProtection="1">
      <alignment horizontal="right"/>
      <protection locked="0"/>
    </xf>
    <xf numFmtId="164" fontId="0" fillId="4" borderId="14" xfId="0" applyNumberFormat="1" applyFill="1" applyBorder="1" applyAlignment="1" applyProtection="1">
      <alignment horizontal="right"/>
      <protection locked="0"/>
    </xf>
    <xf numFmtId="164" fontId="0" fillId="4" borderId="11" xfId="0" applyNumberFormat="1" applyFill="1" applyBorder="1" applyAlignment="1" applyProtection="1">
      <alignment horizontal="right"/>
      <protection locked="0"/>
    </xf>
    <xf numFmtId="164" fontId="0" fillId="4" borderId="10" xfId="0" applyNumberFormat="1" applyFill="1" applyBorder="1" applyAlignment="1" applyProtection="1">
      <alignment horizontal="right"/>
      <protection locked="0"/>
    </xf>
    <xf numFmtId="0" fontId="19" fillId="0" borderId="0" xfId="0" applyFont="1" applyAlignment="1">
      <alignment horizontal="left"/>
    </xf>
    <xf numFmtId="165" fontId="0" fillId="0" borderId="7" xfId="0" applyNumberFormat="1" applyBorder="1" applyAlignment="1">
      <alignment horizontal="right"/>
    </xf>
    <xf numFmtId="164" fontId="0" fillId="6" borderId="0" xfId="0" applyNumberFormat="1" applyFill="1" applyAlignment="1">
      <alignment horizontal="right"/>
    </xf>
    <xf numFmtId="0" fontId="0" fillId="0" borderId="19" xfId="0" applyBorder="1" applyAlignment="1">
      <alignment horizontal="center"/>
    </xf>
    <xf numFmtId="164" fontId="0" fillId="7" borderId="19" xfId="0" applyNumberFormat="1" applyFill="1" applyBorder="1" applyAlignment="1">
      <alignment horizontal="right"/>
    </xf>
    <xf numFmtId="164" fontId="0" fillId="0" borderId="19" xfId="0" applyNumberFormat="1" applyBorder="1"/>
    <xf numFmtId="164" fontId="0" fillId="0" borderId="19" xfId="0" applyNumberFormat="1" applyBorder="1" applyAlignment="1">
      <alignment horizontal="right"/>
    </xf>
    <xf numFmtId="166" fontId="20" fillId="0" borderId="0" xfId="0" applyNumberFormat="1" applyFont="1" applyAlignment="1">
      <alignment horizontal="left"/>
    </xf>
    <xf numFmtId="0" fontId="21" fillId="0" borderId="0" xfId="0" applyFont="1"/>
    <xf numFmtId="170" fontId="22" fillId="4" borderId="0" xfId="0" applyNumberFormat="1" applyFont="1" applyFill="1" applyProtection="1">
      <protection locked="0"/>
    </xf>
    <xf numFmtId="164" fontId="0" fillId="0" borderId="19" xfId="0" applyNumberFormat="1" applyBorder="1" applyProtection="1">
      <protection locked="0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/>
    <xf numFmtId="0" fontId="15" fillId="9" borderId="0" xfId="0" applyFont="1" applyFill="1"/>
    <xf numFmtId="0" fontId="15" fillId="11" borderId="0" xfId="0" applyFont="1" applyFill="1" applyAlignment="1">
      <alignment horizontal="center"/>
    </xf>
  </cellXfs>
  <cellStyles count="1">
    <cellStyle name="Standard" xfId="0" builtinId="0"/>
  </cellStyles>
  <dxfs count="4">
    <dxf>
      <font>
        <color rgb="FF008800"/>
      </font>
    </dxf>
    <dxf>
      <font>
        <b/>
        <i val="0"/>
        <color rgb="FFCC0000"/>
      </font>
    </dxf>
    <dxf>
      <font>
        <color rgb="FFCC0000"/>
      </font>
      <fill>
        <patternFill patternType="solid">
          <fgColor indexed="64"/>
          <bgColor rgb="FFFFD9D9"/>
        </patternFill>
      </fill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Zinsen vs. Tilgung über die Laufzeit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Zinsen</c:v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Darlehenrechner!$A$20:$A$59</c:f>
              <c:strCache>
                <c:ptCount val="28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</c:strCache>
            </c:strRef>
          </c:cat>
          <c:val>
            <c:numRef>
              <c:f>Darlehenrechner!$C$20:$C$59</c:f>
              <c:numCache>
                <c:formatCode>#,##0.00\ \€</c:formatCode>
                <c:ptCount val="40"/>
                <c:pt idx="0">
                  <c:v>1583.3333333333333</c:v>
                </c:pt>
                <c:pt idx="1">
                  <c:v>3765.1666666666665</c:v>
                </c:pt>
                <c:pt idx="2">
                  <c:v>3680.2429999999999</c:v>
                </c:pt>
                <c:pt idx="3">
                  <c:v>3592.0922340000002</c:v>
                </c:pt>
                <c:pt idx="4">
                  <c:v>3500.5917388919997</c:v>
                </c:pt>
                <c:pt idx="5">
                  <c:v>3405.614224969896</c:v>
                </c:pt>
                <c:pt idx="6">
                  <c:v>3307.027565518752</c:v>
                </c:pt>
                <c:pt idx="7">
                  <c:v>3204.6946130084648</c:v>
                </c:pt>
                <c:pt idx="8">
                  <c:v>3098.4730083027866</c:v>
                </c:pt>
                <c:pt idx="9">
                  <c:v>2988.2149826182922</c:v>
                </c:pt>
                <c:pt idx="10">
                  <c:v>2873.7671519577871</c:v>
                </c:pt>
                <c:pt idx="11">
                  <c:v>2754.9703037321829</c:v>
                </c:pt>
                <c:pt idx="12">
                  <c:v>2631.659175274006</c:v>
                </c:pt>
                <c:pt idx="13">
                  <c:v>2503.6622239344183</c:v>
                </c:pt>
                <c:pt idx="14">
                  <c:v>2370.8013884439265</c:v>
                </c:pt>
                <c:pt idx="15">
                  <c:v>2232.8918412047956</c:v>
                </c:pt>
                <c:pt idx="16">
                  <c:v>2089.7417311705776</c:v>
                </c:pt>
                <c:pt idx="17">
                  <c:v>1941.15191695506</c:v>
                </c:pt>
                <c:pt idx="18">
                  <c:v>1786.9156897993521</c:v>
                </c:pt>
                <c:pt idx="19">
                  <c:v>1626.8184860117276</c:v>
                </c:pt>
                <c:pt idx="20">
                  <c:v>1460.637588480173</c:v>
                </c:pt>
                <c:pt idx="21">
                  <c:v>1288.1418168424198</c:v>
                </c:pt>
                <c:pt idx="22">
                  <c:v>1109.0912058824317</c:v>
                </c:pt>
                <c:pt idx="23">
                  <c:v>923.23667170596411</c:v>
                </c:pt>
                <c:pt idx="24">
                  <c:v>730.31966523079075</c:v>
                </c:pt>
                <c:pt idx="25">
                  <c:v>530.0718125095608</c:v>
                </c:pt>
                <c:pt idx="26">
                  <c:v>322.21454138492413</c:v>
                </c:pt>
                <c:pt idx="27">
                  <c:v>106.45869395755123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B-47A1-B8DB-74181F71B4DF}"/>
            </c:ext>
          </c:extLst>
        </c:ser>
        <c:ser>
          <c:idx val="1"/>
          <c:order val="1"/>
          <c:tx>
            <c:v>Tilgung</c:v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Darlehenrechner!$A$20:$A$59</c:f>
              <c:strCache>
                <c:ptCount val="28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</c:strCache>
            </c:strRef>
          </c:cat>
          <c:val>
            <c:numRef>
              <c:f>Darlehenrechner!$D$20:$D$59</c:f>
              <c:numCache>
                <c:formatCode>#,##0.00\ \€</c:formatCode>
                <c:ptCount val="40"/>
                <c:pt idx="0">
                  <c:v>916.66666666666674</c:v>
                </c:pt>
                <c:pt idx="1">
                  <c:v>2234.8333333333335</c:v>
                </c:pt>
                <c:pt idx="2">
                  <c:v>2319.7570000000001</c:v>
                </c:pt>
                <c:pt idx="3">
                  <c:v>2407.9077659999998</c:v>
                </c:pt>
                <c:pt idx="4">
                  <c:v>2499.4082611080003</c:v>
                </c:pt>
                <c:pt idx="5">
                  <c:v>2594.385775030104</c:v>
                </c:pt>
                <c:pt idx="6">
                  <c:v>2692.972434481248</c:v>
                </c:pt>
                <c:pt idx="7">
                  <c:v>2795.3053869915352</c:v>
                </c:pt>
                <c:pt idx="8">
                  <c:v>2901.5269916972134</c:v>
                </c:pt>
                <c:pt idx="9">
                  <c:v>3011.7850173817078</c:v>
                </c:pt>
                <c:pt idx="10">
                  <c:v>3126.2328480422129</c:v>
                </c:pt>
                <c:pt idx="11">
                  <c:v>3245.0296962678171</c:v>
                </c:pt>
                <c:pt idx="12">
                  <c:v>3368.340824725994</c:v>
                </c:pt>
                <c:pt idx="13">
                  <c:v>3496.3377760655817</c:v>
                </c:pt>
                <c:pt idx="14">
                  <c:v>3629.1986115560735</c:v>
                </c:pt>
                <c:pt idx="15">
                  <c:v>3767.1081587952044</c:v>
                </c:pt>
                <c:pt idx="16">
                  <c:v>3910.2582688294224</c:v>
                </c:pt>
                <c:pt idx="17">
                  <c:v>4058.8480830449398</c:v>
                </c:pt>
                <c:pt idx="18">
                  <c:v>4213.0843102006475</c:v>
                </c:pt>
                <c:pt idx="19">
                  <c:v>4373.1815139882729</c:v>
                </c:pt>
                <c:pt idx="20">
                  <c:v>4539.3624115198272</c:v>
                </c:pt>
                <c:pt idx="21">
                  <c:v>4711.8581831575802</c:v>
                </c:pt>
                <c:pt idx="22">
                  <c:v>4890.9087941175685</c:v>
                </c:pt>
                <c:pt idx="23">
                  <c:v>5076.763328294036</c:v>
                </c:pt>
                <c:pt idx="24">
                  <c:v>5269.6803347692094</c:v>
                </c:pt>
                <c:pt idx="25">
                  <c:v>5469.9281874904391</c:v>
                </c:pt>
                <c:pt idx="26">
                  <c:v>5677.7854586150761</c:v>
                </c:pt>
                <c:pt idx="27">
                  <c:v>2801.5445778302956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B-47A1-B8DB-74181F71B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4457336"/>
        <c:axId val="574455896"/>
      </c:lineChart>
      <c:catAx>
        <c:axId val="574457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4455896"/>
        <c:crosses val="autoZero"/>
        <c:auto val="1"/>
        <c:lblAlgn val="ctr"/>
        <c:lblOffset val="100"/>
        <c:noMultiLvlLbl val="0"/>
      </c:catAx>
      <c:valAx>
        <c:axId val="57445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Betrag (€)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.00\ \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4457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63</xdr:row>
      <xdr:rowOff>127000</xdr:rowOff>
    </xdr:from>
    <xdr:to>
      <xdr:col>7</xdr:col>
      <xdr:colOff>127000</xdr:colOff>
      <xdr:row>83</xdr:row>
      <xdr:rowOff>127000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36A6A8B-9348-064B-D827-38328AFF10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8A5B-384E-471C-A5F7-9E7829745BBA}">
  <dimension ref="A1:J63"/>
  <sheetViews>
    <sheetView tabSelected="1" topLeftCell="A3" workbookViewId="0">
      <selection activeCell="B16" sqref="B16"/>
    </sheetView>
  </sheetViews>
  <sheetFormatPr baseColWidth="10" defaultColWidth="11.42578125" defaultRowHeight="15" x14ac:dyDescent="0.25"/>
  <cols>
    <col min="1" max="1" width="28.5703125" customWidth="1"/>
    <col min="2" max="2" width="17.85546875" bestFit="1" customWidth="1"/>
    <col min="3" max="3" width="10.7109375" bestFit="1" customWidth="1"/>
    <col min="4" max="4" width="25" bestFit="1" customWidth="1"/>
    <col min="5" max="5" width="11.5703125" bestFit="1" customWidth="1"/>
    <col min="6" max="6" width="18.7109375" bestFit="1" customWidth="1"/>
    <col min="7" max="7" width="13.5703125" bestFit="1" customWidth="1"/>
    <col min="8" max="8" width="11.42578125" customWidth="1"/>
    <col min="10" max="10" width="0" hidden="1" customWidth="1"/>
  </cols>
  <sheetData>
    <row r="1" spans="1:10" ht="37.5" customHeight="1" x14ac:dyDescent="0.25">
      <c r="A1" s="128" t="e" vm="1">
        <v>#VALUE!</v>
      </c>
      <c r="B1" s="128"/>
      <c r="C1" s="128"/>
      <c r="D1" s="129" t="s">
        <v>39</v>
      </c>
      <c r="E1" s="130"/>
      <c r="F1" s="130"/>
      <c r="G1" s="130"/>
    </row>
    <row r="2" spans="1:10" ht="37.5" customHeight="1" x14ac:dyDescent="0.25">
      <c r="A2" s="128"/>
      <c r="B2" s="128"/>
      <c r="C2" s="128"/>
      <c r="D2" s="129" t="s">
        <v>84</v>
      </c>
      <c r="E2" s="130"/>
      <c r="F2" s="130"/>
      <c r="G2" s="130"/>
    </row>
    <row r="3" spans="1:10" ht="37.5" customHeight="1" x14ac:dyDescent="0.25">
      <c r="A3" s="128"/>
      <c r="B3" s="128"/>
      <c r="C3" s="128"/>
    </row>
    <row r="4" spans="1:10" ht="9.9499999999999993" customHeight="1" x14ac:dyDescent="0.25"/>
    <row r="5" spans="1:10" ht="24" x14ac:dyDescent="0.4">
      <c r="A5" s="126" t="s">
        <v>0</v>
      </c>
      <c r="B5" s="127"/>
      <c r="C5" s="127"/>
      <c r="D5" s="127"/>
      <c r="E5" s="127"/>
      <c r="F5" s="127"/>
      <c r="G5" s="49" t="s">
        <v>1</v>
      </c>
      <c r="H5">
        <f>IF(B8=0,"",B8*(B9+B17)/12)</f>
        <v>400</v>
      </c>
      <c r="I5" s="50"/>
    </row>
    <row r="6" spans="1:10" x14ac:dyDescent="0.25">
      <c r="G6" s="49" t="s">
        <v>2</v>
      </c>
      <c r="H6" s="51">
        <f>IF(OR(B8=0,B13&lt;=I6),"",IF(B13&lt;=I6,"Rate zu niedrig!",(B13*12/B8)-B9))</f>
        <v>2.1999999999999999E-2</v>
      </c>
      <c r="I6" s="52">
        <f>IF(B8=0,"",B8*B9/12)</f>
        <v>316.66666666666669</v>
      </c>
    </row>
    <row r="7" spans="1:10" ht="15.75" x14ac:dyDescent="0.25">
      <c r="A7" s="53" t="s">
        <v>3</v>
      </c>
      <c r="B7" s="54"/>
      <c r="C7" s="21"/>
      <c r="D7" s="55" t="s">
        <v>4</v>
      </c>
      <c r="E7" s="56"/>
      <c r="G7" s="49" t="s">
        <v>5</v>
      </c>
      <c r="H7" s="57">
        <f>IF(B8=0,"",IF(C9="Rate",B13,IF(C9="Tilgung",H5,IF(C10=0,"",H9))))</f>
        <v>500</v>
      </c>
      <c r="I7" s="50" t="s">
        <v>6</v>
      </c>
    </row>
    <row r="8" spans="1:10" x14ac:dyDescent="0.25">
      <c r="A8" s="58" t="s">
        <v>7</v>
      </c>
      <c r="B8" s="102">
        <v>100000</v>
      </c>
      <c r="C8" s="59" t="s">
        <v>8</v>
      </c>
      <c r="D8" s="58" t="s">
        <v>9</v>
      </c>
      <c r="E8" s="60">
        <f>IF(OR(B8=0,H7=""),"",H7)</f>
        <v>500</v>
      </c>
      <c r="G8" s="49" t="s">
        <v>10</v>
      </c>
      <c r="H8">
        <f>IF(B8=0,"",IF(C9="Rate",IF(B13&lt;=I6,"⚠️",(B13*12/B8)-B9),IF(C9="Tilgung",B17,IF(OR(C10=0,H9=""),"",(H9*12/B8)-B9))))</f>
        <v>2.1999999999999999E-2</v>
      </c>
      <c r="I8" s="43" t="str">
        <f>IF(B8=0,"",IF(C9="Rate",IF(B13&gt;I6,"✓ OK","⚠️ Zu niedrig!"),IF(C9="Laufzeit","✓ Laufzeit","—")))</f>
        <v>✓ OK</v>
      </c>
    </row>
    <row r="9" spans="1:10" x14ac:dyDescent="0.25">
      <c r="A9" s="58" t="s">
        <v>11</v>
      </c>
      <c r="B9" s="103">
        <v>3.7999999999999999E-2</v>
      </c>
      <c r="C9" s="104" t="s">
        <v>140</v>
      </c>
      <c r="D9" s="21" t="s">
        <v>38</v>
      </c>
      <c r="E9" s="60">
        <f>IF(OR(B8=0,H7=""),"",H7*12)</f>
        <v>6000</v>
      </c>
      <c r="F9" s="61" t="str">
        <f>IF(OR(B8=0,H7=""),"",IF(B15&gt;1,"1. Jahr: "&amp;TEXT(H7*(13-B15),"#.##0 €"),""))</f>
        <v>1. Jahr: 2.500 €</v>
      </c>
      <c r="G9" s="49" t="s">
        <v>137</v>
      </c>
      <c r="H9">
        <f>IF(OR(B8=0,B9=0,C10=0),"",PMT(B9/12,C10*12,-B8))</f>
        <v>595.49368480167254</v>
      </c>
      <c r="I9" s="6"/>
      <c r="J9" s="115" t="s">
        <v>139</v>
      </c>
    </row>
    <row r="10" spans="1:10" x14ac:dyDescent="0.25">
      <c r="A10" s="58" t="s">
        <v>12</v>
      </c>
      <c r="B10" s="116">
        <f>IF(B8=0,"",IF(C9="Laufzeit",C10,IF(H7="","",IFERROR(IF($J$12&gt;0,"∞",IF($J$10=$B$14,$J$11/$H$7/12,((13-$B$15)+($J$10-$B$14-1)*12+$J$11/$H$7)/12)),"∞"))))</f>
        <v>26.901333878631306</v>
      </c>
      <c r="C10" s="124">
        <v>20</v>
      </c>
      <c r="D10" s="58" t="s">
        <v>13</v>
      </c>
      <c r="E10" s="60">
        <f>IF(OR(B8=0,H7=""),"",IF(AND(C9="Rate",B13&lt;=I6),"—",IFERROR(SUM(C20:C59),"")))</f>
        <v>61408.003271787835</v>
      </c>
      <c r="J10" cm="1">
        <f t="array" ref="J10">IFERROR(LOOKUP(2,1/(A20:A59&lt;&gt;""),A20:A59),"")</f>
        <v>2053</v>
      </c>
    </row>
    <row r="11" spans="1:10" x14ac:dyDescent="0.25">
      <c r="A11" s="62" t="s">
        <v>14</v>
      </c>
      <c r="B11" s="63">
        <f>IF(OR(B8=0,B10="",B10="∞"),"",IFERROR($J$10,B14+ROUNDUP(B10,0)))</f>
        <v>2053</v>
      </c>
      <c r="C11" s="123"/>
      <c r="D11" s="58" t="s">
        <v>15</v>
      </c>
      <c r="E11" s="60">
        <f>IF(OR(B8=0,H7=""),"",IF(AND(C9="Rate",B13&lt;=I6),"—",IFERROR(E10+B8,"")))</f>
        <v>161408.00327178783</v>
      </c>
      <c r="F11" s="64" t="str">
        <f>IF(OR(B8=0,H7=""),"",IF(B10="∞","⚠️ Rate zu niedrig!",IF(B10&gt;40,"⚠️ &gt;40 Jahre!","")))</f>
        <v/>
      </c>
      <c r="J11" cm="1">
        <f t="array" ref="J11">IFERROR(LOOKUP(2,1/(A20:A59&lt;&gt;""),E20:E59),"")</f>
        <v>2908.0032717878466</v>
      </c>
    </row>
    <row r="12" spans="1:10" x14ac:dyDescent="0.25">
      <c r="A12" s="62" t="s">
        <v>16</v>
      </c>
      <c r="B12" s="65">
        <f>IF(OR(B8=0,H7=""),"",IFERROR(SUM(D20:D59)+SUMIF(B20:B59,"&gt;0",G20:G59),""))</f>
        <v>100000.00000000001</v>
      </c>
      <c r="D12" s="58" t="s">
        <v>17</v>
      </c>
      <c r="E12" s="66">
        <f>IF(OR(B8=0,B9=0),"",EFFECT(B9,12))</f>
        <v>3.866886938036429E-2</v>
      </c>
      <c r="J12" cm="1">
        <f t="array" ref="J12">IFERROR(LOOKUP(2,1/(A20:A59&lt;&gt;""),F20:F59),"")</f>
        <v>0</v>
      </c>
    </row>
    <row r="13" spans="1:10" x14ac:dyDescent="0.25">
      <c r="A13" s="62" t="s">
        <v>18</v>
      </c>
      <c r="B13" s="105">
        <v>500</v>
      </c>
      <c r="C13" s="122" t="str">
        <f>IF(B8=0,"",IF(C9="Rate",IF(B13&lt;=I6,"⚠️ Min: "&amp;TEXT(I6,"#.##0 €"),"← Eingabe"),IF(C9="Tilgung",TEXT(H5,"#.##0,00"),IF(OR(C10=0,H9=""),"??",TEXT(H9,"#.##0,00 €")))))</f>
        <v>← Eingabe</v>
      </c>
      <c r="D13" s="62" t="s">
        <v>19</v>
      </c>
      <c r="E13" s="65" cm="1">
        <f t="array" ref="E13">IF(B8=0,"",IF(AND(C9="Rate",B13&lt;=I6),"—",IFERROR(LOOKUP(2,1/(A20:A59&lt;&gt;""),F20:F59),0)))</f>
        <v>0</v>
      </c>
    </row>
    <row r="14" spans="1:10" x14ac:dyDescent="0.25">
      <c r="A14" s="58" t="s">
        <v>20</v>
      </c>
      <c r="B14" s="106">
        <v>2026</v>
      </c>
      <c r="D14" s="62"/>
      <c r="E14" s="65"/>
    </row>
    <row r="15" spans="1:10" ht="15.75" x14ac:dyDescent="0.25">
      <c r="A15" s="67" t="s">
        <v>21</v>
      </c>
      <c r="B15" s="107">
        <v>8</v>
      </c>
      <c r="C15" s="68"/>
      <c r="D15" s="69" t="s">
        <v>22</v>
      </c>
      <c r="E15" s="70">
        <f>IF(OR(B8=0,H7=""),"",IFERROR(SUM(G20:G59),""))</f>
        <v>0</v>
      </c>
      <c r="F15" s="71"/>
      <c r="G15" s="72"/>
    </row>
    <row r="16" spans="1:10" ht="15.75" x14ac:dyDescent="0.25">
      <c r="A16" s="73" t="s">
        <v>23</v>
      </c>
      <c r="B16" s="108">
        <v>15</v>
      </c>
      <c r="C16" s="48"/>
      <c r="D16" s="74" t="s">
        <v>24</v>
      </c>
      <c r="E16" s="117">
        <f>IF(OR(B8=0,B16=0,H7=""),"",IFERROR(VLOOKUP(B14+B16-1,A20:F59,6,FALSE),"—"))</f>
        <v>58760.311610652519</v>
      </c>
      <c r="F16" s="48"/>
      <c r="G16" s="48"/>
    </row>
    <row r="17" spans="1:7" x14ac:dyDescent="0.25">
      <c r="A17" s="62" t="s">
        <v>25</v>
      </c>
      <c r="B17" s="109">
        <v>0.01</v>
      </c>
      <c r="C17" s="75">
        <f>IF(B8=0,"",IF(C9="Tilgung","← Eingabe",IF(C9="Rate",IF(B13&lt;=I6,"⚠️",H6),IF(H8="","",TEXT(H8,"0,00%")))))</f>
        <v>2.1999999999999999E-2</v>
      </c>
      <c r="D17" s="11" t="s">
        <v>26</v>
      </c>
      <c r="E17" s="76">
        <f>IF(OR(B8=0,H7=""),"",IF(C9="Rate",IF(B13&lt;=I6,"⚠️ negativ",(B13*12/B8)-B9),IF(C9="Tilgung",B17,IF(OR(C10=0,H9=""),"",(H9*12/B8)-B9))))</f>
        <v>2.1999999999999999E-2</v>
      </c>
    </row>
    <row r="18" spans="1:7" ht="15.75" x14ac:dyDescent="0.25">
      <c r="A18" s="77" t="s">
        <v>27</v>
      </c>
      <c r="B18" s="78"/>
      <c r="C18" s="79"/>
      <c r="D18" s="79"/>
      <c r="E18" s="79"/>
      <c r="F18" s="79"/>
      <c r="G18" s="79"/>
    </row>
    <row r="19" spans="1:7" x14ac:dyDescent="0.25">
      <c r="A19" s="80" t="s">
        <v>28</v>
      </c>
      <c r="B19" s="81" t="s">
        <v>29</v>
      </c>
      <c r="C19" s="81" t="s">
        <v>30</v>
      </c>
      <c r="D19" s="81" t="s">
        <v>31</v>
      </c>
      <c r="E19" s="81" t="s">
        <v>32</v>
      </c>
      <c r="F19" s="81" t="s">
        <v>33</v>
      </c>
      <c r="G19" s="81" t="s">
        <v>34</v>
      </c>
    </row>
    <row r="20" spans="1:7" x14ac:dyDescent="0.25">
      <c r="A20" s="82">
        <f>$B$14</f>
        <v>2026</v>
      </c>
      <c r="B20" s="83">
        <f>B8</f>
        <v>100000</v>
      </c>
      <c r="C20" s="83">
        <f>IF(OR(B20=0,$H$7=""),"",B20*$B$9*(13-$B$15)/12)</f>
        <v>1583.3333333333333</v>
      </c>
      <c r="D20" s="83">
        <f>IF(OR(B20=0,$H$7=""),"",MAX(0,E20-C20))</f>
        <v>916.66666666666674</v>
      </c>
      <c r="E20" s="83">
        <f>IF(OR(B20=0,$H$7=""),"",MIN($H$7*(13-$B$15),C20+MAX(0,B20-G20)))</f>
        <v>2500</v>
      </c>
      <c r="F20" s="83">
        <f>IF(OR(B20=0,$H$7=""),"",MAX(0,B20-D20-G20))</f>
        <v>99083.333333333328</v>
      </c>
      <c r="G20" s="110">
        <v>0</v>
      </c>
    </row>
    <row r="21" spans="1:7" x14ac:dyDescent="0.25">
      <c r="A21" s="84">
        <f t="shared" ref="A21:A59" si="0">IF(OR(B21="",$H$7=""),"",A20+1)</f>
        <v>2027</v>
      </c>
      <c r="B21" s="85">
        <f t="shared" ref="B21:B59" si="1">IF(OR($H$7="",F20="",F20&lt;=0),"",F20)</f>
        <v>99083.333333333328</v>
      </c>
      <c r="C21" s="85">
        <f t="shared" ref="C21:C59" si="2">IF(OR(B21="",$H$7=""),"",B21*$B$9)</f>
        <v>3765.1666666666665</v>
      </c>
      <c r="D21" s="85">
        <f t="shared" ref="D21:D59" si="3">IF(OR(B21="",$H$7=""),"",MAX(0,E21-C21))</f>
        <v>2234.8333333333335</v>
      </c>
      <c r="E21" s="85">
        <f t="shared" ref="E21:E59" si="4">IF(OR(B21="",$H$7=""),"",MIN($H$7*12,C21+MAX(0,B21-G21)))</f>
        <v>6000</v>
      </c>
      <c r="F21" s="85">
        <f t="shared" ref="F21:F59" si="5">IF(OR(B21="",$H$7=""),"",MAX(0,B21-D21-G21))</f>
        <v>96848.5</v>
      </c>
      <c r="G21" s="110">
        <v>0</v>
      </c>
    </row>
    <row r="22" spans="1:7" x14ac:dyDescent="0.25">
      <c r="A22" s="82">
        <f t="shared" si="0"/>
        <v>2028</v>
      </c>
      <c r="B22" s="83">
        <f t="shared" si="1"/>
        <v>96848.5</v>
      </c>
      <c r="C22" s="83">
        <f t="shared" si="2"/>
        <v>3680.2429999999999</v>
      </c>
      <c r="D22" s="83">
        <f t="shared" si="3"/>
        <v>2319.7570000000001</v>
      </c>
      <c r="E22" s="83">
        <f t="shared" si="4"/>
        <v>6000</v>
      </c>
      <c r="F22" s="83">
        <f t="shared" si="5"/>
        <v>94528.743000000002</v>
      </c>
      <c r="G22" s="110">
        <v>0</v>
      </c>
    </row>
    <row r="23" spans="1:7" x14ac:dyDescent="0.25">
      <c r="A23" s="86">
        <f t="shared" si="0"/>
        <v>2029</v>
      </c>
      <c r="B23" s="87">
        <f t="shared" si="1"/>
        <v>94528.743000000002</v>
      </c>
      <c r="C23" s="87">
        <f t="shared" si="2"/>
        <v>3592.0922340000002</v>
      </c>
      <c r="D23" s="87">
        <f t="shared" si="3"/>
        <v>2407.9077659999998</v>
      </c>
      <c r="E23" s="87">
        <f t="shared" si="4"/>
        <v>6000</v>
      </c>
      <c r="F23" s="87">
        <f t="shared" si="5"/>
        <v>92120.835233999998</v>
      </c>
      <c r="G23" s="111">
        <v>0</v>
      </c>
    </row>
    <row r="24" spans="1:7" x14ac:dyDescent="0.25">
      <c r="A24" s="88">
        <f t="shared" si="0"/>
        <v>2030</v>
      </c>
      <c r="B24" s="89">
        <f t="shared" si="1"/>
        <v>92120.835233999998</v>
      </c>
      <c r="C24" s="89">
        <f t="shared" si="2"/>
        <v>3500.5917388919997</v>
      </c>
      <c r="D24" s="89">
        <f t="shared" si="3"/>
        <v>2499.4082611080003</v>
      </c>
      <c r="E24" s="89">
        <f t="shared" si="4"/>
        <v>6000</v>
      </c>
      <c r="F24" s="89">
        <f t="shared" si="5"/>
        <v>89621.426972892004</v>
      </c>
      <c r="G24" s="112">
        <v>0</v>
      </c>
    </row>
    <row r="25" spans="1:7" x14ac:dyDescent="0.25">
      <c r="A25" s="90">
        <f t="shared" si="0"/>
        <v>2031</v>
      </c>
      <c r="B25" s="91">
        <f t="shared" si="1"/>
        <v>89621.426972892004</v>
      </c>
      <c r="C25" s="91">
        <f t="shared" si="2"/>
        <v>3405.614224969896</v>
      </c>
      <c r="D25" s="91">
        <f t="shared" si="3"/>
        <v>2594.385775030104</v>
      </c>
      <c r="E25" s="91">
        <f t="shared" si="4"/>
        <v>6000</v>
      </c>
      <c r="F25" s="91">
        <f t="shared" si="5"/>
        <v>87027.041197861894</v>
      </c>
      <c r="G25" s="113">
        <v>0</v>
      </c>
    </row>
    <row r="26" spans="1:7" x14ac:dyDescent="0.25">
      <c r="A26" s="82">
        <f t="shared" si="0"/>
        <v>2032</v>
      </c>
      <c r="B26" s="83">
        <f t="shared" si="1"/>
        <v>87027.041197861894</v>
      </c>
      <c r="C26" s="83">
        <f t="shared" si="2"/>
        <v>3307.027565518752</v>
      </c>
      <c r="D26" s="83">
        <f t="shared" si="3"/>
        <v>2692.972434481248</v>
      </c>
      <c r="E26" s="83">
        <f t="shared" si="4"/>
        <v>6000</v>
      </c>
      <c r="F26" s="83">
        <f t="shared" si="5"/>
        <v>84334.068763380652</v>
      </c>
      <c r="G26" s="110">
        <v>0</v>
      </c>
    </row>
    <row r="27" spans="1:7" x14ac:dyDescent="0.25">
      <c r="A27" s="84">
        <f t="shared" si="0"/>
        <v>2033</v>
      </c>
      <c r="B27" s="85">
        <f t="shared" si="1"/>
        <v>84334.068763380652</v>
      </c>
      <c r="C27" s="85">
        <f t="shared" si="2"/>
        <v>3204.6946130084648</v>
      </c>
      <c r="D27" s="85">
        <f t="shared" si="3"/>
        <v>2795.3053869915352</v>
      </c>
      <c r="E27" s="85">
        <f t="shared" si="4"/>
        <v>6000</v>
      </c>
      <c r="F27" s="85">
        <f t="shared" si="5"/>
        <v>81538.763376389121</v>
      </c>
      <c r="G27" s="110">
        <v>0</v>
      </c>
    </row>
    <row r="28" spans="1:7" x14ac:dyDescent="0.25">
      <c r="A28" s="92">
        <f t="shared" si="0"/>
        <v>2034</v>
      </c>
      <c r="B28" s="93">
        <f t="shared" si="1"/>
        <v>81538.763376389121</v>
      </c>
      <c r="C28" s="93">
        <f t="shared" si="2"/>
        <v>3098.4730083027866</v>
      </c>
      <c r="D28" s="93">
        <f t="shared" si="3"/>
        <v>2901.5269916972134</v>
      </c>
      <c r="E28" s="93">
        <f t="shared" si="4"/>
        <v>6000</v>
      </c>
      <c r="F28" s="93">
        <f t="shared" si="5"/>
        <v>78637.236384691903</v>
      </c>
      <c r="G28" s="111">
        <v>0</v>
      </c>
    </row>
    <row r="29" spans="1:7" x14ac:dyDescent="0.25">
      <c r="A29" s="94">
        <f t="shared" si="0"/>
        <v>2035</v>
      </c>
      <c r="B29" s="95">
        <f t="shared" si="1"/>
        <v>78637.236384691903</v>
      </c>
      <c r="C29" s="95">
        <f t="shared" si="2"/>
        <v>2988.2149826182922</v>
      </c>
      <c r="D29" s="95">
        <f t="shared" si="3"/>
        <v>3011.7850173817078</v>
      </c>
      <c r="E29" s="95">
        <f t="shared" si="4"/>
        <v>6000</v>
      </c>
      <c r="F29" s="95">
        <f t="shared" si="5"/>
        <v>75625.45136731019</v>
      </c>
      <c r="G29" s="112">
        <v>0</v>
      </c>
    </row>
    <row r="30" spans="1:7" x14ac:dyDescent="0.25">
      <c r="A30" s="96">
        <f t="shared" si="0"/>
        <v>2036</v>
      </c>
      <c r="B30" s="97">
        <f t="shared" si="1"/>
        <v>75625.45136731019</v>
      </c>
      <c r="C30" s="97">
        <f t="shared" si="2"/>
        <v>2873.7671519577871</v>
      </c>
      <c r="D30" s="97">
        <f t="shared" si="3"/>
        <v>3126.2328480422129</v>
      </c>
      <c r="E30" s="97">
        <f t="shared" si="4"/>
        <v>6000</v>
      </c>
      <c r="F30" s="97">
        <f t="shared" si="5"/>
        <v>72499.218519267975</v>
      </c>
      <c r="G30" s="113">
        <v>0</v>
      </c>
    </row>
    <row r="31" spans="1:7" x14ac:dyDescent="0.25">
      <c r="A31" s="84">
        <f t="shared" si="0"/>
        <v>2037</v>
      </c>
      <c r="B31" s="85">
        <f t="shared" si="1"/>
        <v>72499.218519267975</v>
      </c>
      <c r="C31" s="85">
        <f t="shared" si="2"/>
        <v>2754.9703037321829</v>
      </c>
      <c r="D31" s="85">
        <f t="shared" si="3"/>
        <v>3245.0296962678171</v>
      </c>
      <c r="E31" s="85">
        <f t="shared" si="4"/>
        <v>6000</v>
      </c>
      <c r="F31" s="85">
        <f t="shared" si="5"/>
        <v>69254.188823000164</v>
      </c>
      <c r="G31" s="110">
        <v>0</v>
      </c>
    </row>
    <row r="32" spans="1:7" x14ac:dyDescent="0.25">
      <c r="A32" s="82">
        <f t="shared" si="0"/>
        <v>2038</v>
      </c>
      <c r="B32" s="83">
        <f t="shared" si="1"/>
        <v>69254.188823000164</v>
      </c>
      <c r="C32" s="83">
        <f t="shared" si="2"/>
        <v>2631.659175274006</v>
      </c>
      <c r="D32" s="83">
        <f t="shared" si="3"/>
        <v>3368.340824725994</v>
      </c>
      <c r="E32" s="83">
        <f t="shared" si="4"/>
        <v>6000</v>
      </c>
      <c r="F32" s="83">
        <f t="shared" si="5"/>
        <v>65885.84799827417</v>
      </c>
      <c r="G32" s="110">
        <v>0</v>
      </c>
    </row>
    <row r="33" spans="1:7" x14ac:dyDescent="0.25">
      <c r="A33" s="86">
        <f t="shared" si="0"/>
        <v>2039</v>
      </c>
      <c r="B33" s="87">
        <f t="shared" si="1"/>
        <v>65885.84799827417</v>
      </c>
      <c r="C33" s="87">
        <f t="shared" si="2"/>
        <v>2503.6622239344183</v>
      </c>
      <c r="D33" s="87">
        <f t="shared" si="3"/>
        <v>3496.3377760655817</v>
      </c>
      <c r="E33" s="87">
        <f t="shared" si="4"/>
        <v>6000</v>
      </c>
      <c r="F33" s="87">
        <f t="shared" si="5"/>
        <v>62389.510222208592</v>
      </c>
      <c r="G33" s="111">
        <v>0</v>
      </c>
    </row>
    <row r="34" spans="1:7" x14ac:dyDescent="0.25">
      <c r="A34" s="88">
        <f t="shared" si="0"/>
        <v>2040</v>
      </c>
      <c r="B34" s="89">
        <f t="shared" si="1"/>
        <v>62389.510222208592</v>
      </c>
      <c r="C34" s="89">
        <f t="shared" si="2"/>
        <v>2370.8013884439265</v>
      </c>
      <c r="D34" s="89">
        <f t="shared" si="3"/>
        <v>3629.1986115560735</v>
      </c>
      <c r="E34" s="89">
        <f t="shared" si="4"/>
        <v>6000</v>
      </c>
      <c r="F34" s="89">
        <f t="shared" si="5"/>
        <v>58760.311610652519</v>
      </c>
      <c r="G34" s="112">
        <v>0</v>
      </c>
    </row>
    <row r="35" spans="1:7" x14ac:dyDescent="0.25">
      <c r="A35" s="90">
        <f t="shared" si="0"/>
        <v>2041</v>
      </c>
      <c r="B35" s="91">
        <f t="shared" si="1"/>
        <v>58760.311610652519</v>
      </c>
      <c r="C35" s="91">
        <f t="shared" si="2"/>
        <v>2232.8918412047956</v>
      </c>
      <c r="D35" s="91">
        <f t="shared" si="3"/>
        <v>3767.1081587952044</v>
      </c>
      <c r="E35" s="91">
        <f t="shared" si="4"/>
        <v>6000</v>
      </c>
      <c r="F35" s="91">
        <f t="shared" si="5"/>
        <v>54993.203451857313</v>
      </c>
      <c r="G35" s="113">
        <v>0</v>
      </c>
    </row>
    <row r="36" spans="1:7" x14ac:dyDescent="0.25">
      <c r="A36" s="82">
        <f t="shared" si="0"/>
        <v>2042</v>
      </c>
      <c r="B36" s="83">
        <f t="shared" si="1"/>
        <v>54993.203451857313</v>
      </c>
      <c r="C36" s="83">
        <f t="shared" si="2"/>
        <v>2089.7417311705776</v>
      </c>
      <c r="D36" s="83">
        <f t="shared" si="3"/>
        <v>3910.2582688294224</v>
      </c>
      <c r="E36" s="83">
        <f t="shared" si="4"/>
        <v>6000</v>
      </c>
      <c r="F36" s="83">
        <f t="shared" si="5"/>
        <v>51082.945183027892</v>
      </c>
      <c r="G36" s="110">
        <v>0</v>
      </c>
    </row>
    <row r="37" spans="1:7" x14ac:dyDescent="0.25">
      <c r="A37" s="84">
        <f t="shared" si="0"/>
        <v>2043</v>
      </c>
      <c r="B37" s="85">
        <f t="shared" si="1"/>
        <v>51082.945183027892</v>
      </c>
      <c r="C37" s="85">
        <f t="shared" si="2"/>
        <v>1941.15191695506</v>
      </c>
      <c r="D37" s="85">
        <f t="shared" si="3"/>
        <v>4058.8480830449398</v>
      </c>
      <c r="E37" s="85">
        <f t="shared" si="4"/>
        <v>6000</v>
      </c>
      <c r="F37" s="85">
        <f t="shared" si="5"/>
        <v>47024.097099982951</v>
      </c>
      <c r="G37" s="110">
        <v>0</v>
      </c>
    </row>
    <row r="38" spans="1:7" x14ac:dyDescent="0.25">
      <c r="A38" s="92">
        <f t="shared" si="0"/>
        <v>2044</v>
      </c>
      <c r="B38" s="93">
        <f t="shared" si="1"/>
        <v>47024.097099982951</v>
      </c>
      <c r="C38" s="93">
        <f t="shared" si="2"/>
        <v>1786.9156897993521</v>
      </c>
      <c r="D38" s="93">
        <f t="shared" si="3"/>
        <v>4213.0843102006475</v>
      </c>
      <c r="E38" s="93">
        <f t="shared" si="4"/>
        <v>6000</v>
      </c>
      <c r="F38" s="93">
        <f t="shared" si="5"/>
        <v>42811.012789782304</v>
      </c>
      <c r="G38" s="111">
        <v>0</v>
      </c>
    </row>
    <row r="39" spans="1:7" x14ac:dyDescent="0.25">
      <c r="A39" s="94">
        <f t="shared" si="0"/>
        <v>2045</v>
      </c>
      <c r="B39" s="95">
        <f t="shared" si="1"/>
        <v>42811.012789782304</v>
      </c>
      <c r="C39" s="95">
        <f t="shared" si="2"/>
        <v>1626.8184860117276</v>
      </c>
      <c r="D39" s="95">
        <f t="shared" si="3"/>
        <v>4373.1815139882729</v>
      </c>
      <c r="E39" s="95">
        <f t="shared" si="4"/>
        <v>6000</v>
      </c>
      <c r="F39" s="95">
        <f t="shared" si="5"/>
        <v>38437.831275794029</v>
      </c>
      <c r="G39" s="112">
        <v>0</v>
      </c>
    </row>
    <row r="40" spans="1:7" x14ac:dyDescent="0.25">
      <c r="A40" s="96">
        <f t="shared" si="0"/>
        <v>2046</v>
      </c>
      <c r="B40" s="97">
        <f t="shared" si="1"/>
        <v>38437.831275794029</v>
      </c>
      <c r="C40" s="97">
        <f t="shared" si="2"/>
        <v>1460.637588480173</v>
      </c>
      <c r="D40" s="97">
        <f t="shared" si="3"/>
        <v>4539.3624115198272</v>
      </c>
      <c r="E40" s="97">
        <f t="shared" si="4"/>
        <v>6000</v>
      </c>
      <c r="F40" s="97">
        <f t="shared" si="5"/>
        <v>33898.468864274204</v>
      </c>
      <c r="G40" s="113">
        <v>0</v>
      </c>
    </row>
    <row r="41" spans="1:7" x14ac:dyDescent="0.25">
      <c r="A41" s="84">
        <f t="shared" si="0"/>
        <v>2047</v>
      </c>
      <c r="B41" s="85">
        <f t="shared" si="1"/>
        <v>33898.468864274204</v>
      </c>
      <c r="C41" s="85">
        <f t="shared" si="2"/>
        <v>1288.1418168424198</v>
      </c>
      <c r="D41" s="85">
        <f t="shared" si="3"/>
        <v>4711.8581831575802</v>
      </c>
      <c r="E41" s="85">
        <f t="shared" si="4"/>
        <v>6000</v>
      </c>
      <c r="F41" s="85">
        <f t="shared" si="5"/>
        <v>29186.610681116625</v>
      </c>
      <c r="G41" s="110">
        <v>0</v>
      </c>
    </row>
    <row r="42" spans="1:7" x14ac:dyDescent="0.25">
      <c r="A42" s="82">
        <f t="shared" si="0"/>
        <v>2048</v>
      </c>
      <c r="B42" s="83">
        <f t="shared" si="1"/>
        <v>29186.610681116625</v>
      </c>
      <c r="C42" s="83">
        <f t="shared" si="2"/>
        <v>1109.0912058824317</v>
      </c>
      <c r="D42" s="83">
        <f t="shared" si="3"/>
        <v>4890.9087941175685</v>
      </c>
      <c r="E42" s="83">
        <f t="shared" si="4"/>
        <v>6000</v>
      </c>
      <c r="F42" s="83">
        <f t="shared" si="5"/>
        <v>24295.701886999057</v>
      </c>
      <c r="G42" s="110">
        <v>0</v>
      </c>
    </row>
    <row r="43" spans="1:7" x14ac:dyDescent="0.25">
      <c r="A43" s="86">
        <f t="shared" si="0"/>
        <v>2049</v>
      </c>
      <c r="B43" s="87">
        <f t="shared" si="1"/>
        <v>24295.701886999057</v>
      </c>
      <c r="C43" s="87">
        <f t="shared" si="2"/>
        <v>923.23667170596411</v>
      </c>
      <c r="D43" s="87">
        <f t="shared" si="3"/>
        <v>5076.763328294036</v>
      </c>
      <c r="E43" s="87">
        <f t="shared" si="4"/>
        <v>6000</v>
      </c>
      <c r="F43" s="87">
        <f t="shared" si="5"/>
        <v>19218.93855870502</v>
      </c>
      <c r="G43" s="111">
        <v>0</v>
      </c>
    </row>
    <row r="44" spans="1:7" x14ac:dyDescent="0.25">
      <c r="A44" s="88">
        <f t="shared" si="0"/>
        <v>2050</v>
      </c>
      <c r="B44" s="89">
        <f t="shared" si="1"/>
        <v>19218.93855870502</v>
      </c>
      <c r="C44" s="89">
        <f t="shared" si="2"/>
        <v>730.31966523079075</v>
      </c>
      <c r="D44" s="89">
        <f t="shared" si="3"/>
        <v>5269.6803347692094</v>
      </c>
      <c r="E44" s="89">
        <f t="shared" si="4"/>
        <v>6000</v>
      </c>
      <c r="F44" s="89">
        <f t="shared" si="5"/>
        <v>13949.258223935811</v>
      </c>
      <c r="G44" s="112">
        <v>0</v>
      </c>
    </row>
    <row r="45" spans="1:7" x14ac:dyDescent="0.25">
      <c r="A45" s="90">
        <f t="shared" si="0"/>
        <v>2051</v>
      </c>
      <c r="B45" s="91">
        <f t="shared" si="1"/>
        <v>13949.258223935811</v>
      </c>
      <c r="C45" s="91">
        <f t="shared" si="2"/>
        <v>530.0718125095608</v>
      </c>
      <c r="D45" s="91">
        <f t="shared" si="3"/>
        <v>5469.9281874904391</v>
      </c>
      <c r="E45" s="91">
        <f t="shared" si="4"/>
        <v>6000</v>
      </c>
      <c r="F45" s="91">
        <f t="shared" si="5"/>
        <v>8479.3300364453717</v>
      </c>
      <c r="G45" s="113">
        <v>0</v>
      </c>
    </row>
    <row r="46" spans="1:7" x14ac:dyDescent="0.25">
      <c r="A46" s="82">
        <f t="shared" si="0"/>
        <v>2052</v>
      </c>
      <c r="B46" s="83">
        <f t="shared" si="1"/>
        <v>8479.3300364453717</v>
      </c>
      <c r="C46" s="83">
        <f t="shared" si="2"/>
        <v>322.21454138492413</v>
      </c>
      <c r="D46" s="83">
        <f t="shared" si="3"/>
        <v>5677.7854586150761</v>
      </c>
      <c r="E46" s="83">
        <f t="shared" si="4"/>
        <v>6000</v>
      </c>
      <c r="F46" s="83">
        <f t="shared" si="5"/>
        <v>2801.5445778302956</v>
      </c>
      <c r="G46" s="110">
        <v>0</v>
      </c>
    </row>
    <row r="47" spans="1:7" x14ac:dyDescent="0.25">
      <c r="A47" s="84">
        <f t="shared" si="0"/>
        <v>2053</v>
      </c>
      <c r="B47" s="85">
        <f t="shared" si="1"/>
        <v>2801.5445778302956</v>
      </c>
      <c r="C47" s="85">
        <f t="shared" si="2"/>
        <v>106.45869395755123</v>
      </c>
      <c r="D47" s="85">
        <f t="shared" si="3"/>
        <v>2801.5445778302956</v>
      </c>
      <c r="E47" s="85">
        <f t="shared" si="4"/>
        <v>2908.0032717878466</v>
      </c>
      <c r="F47" s="85">
        <f t="shared" si="5"/>
        <v>0</v>
      </c>
      <c r="G47" s="110">
        <v>0</v>
      </c>
    </row>
    <row r="48" spans="1:7" x14ac:dyDescent="0.25">
      <c r="A48" s="98" t="str">
        <f t="shared" si="0"/>
        <v/>
      </c>
      <c r="B48" s="99" t="str">
        <f t="shared" si="1"/>
        <v/>
      </c>
      <c r="C48" s="99" t="str">
        <f t="shared" si="2"/>
        <v/>
      </c>
      <c r="D48" s="99" t="str">
        <f t="shared" si="3"/>
        <v/>
      </c>
      <c r="E48" s="99" t="str">
        <f t="shared" si="4"/>
        <v/>
      </c>
      <c r="F48" s="99" t="str">
        <f t="shared" si="5"/>
        <v/>
      </c>
      <c r="G48" s="114">
        <v>0</v>
      </c>
    </row>
    <row r="49" spans="1:7" x14ac:dyDescent="0.25">
      <c r="A49" s="86" t="str">
        <f t="shared" si="0"/>
        <v/>
      </c>
      <c r="B49" s="87" t="str">
        <f t="shared" si="1"/>
        <v/>
      </c>
      <c r="C49" s="87" t="str">
        <f t="shared" si="2"/>
        <v/>
      </c>
      <c r="D49" s="87" t="str">
        <f t="shared" si="3"/>
        <v/>
      </c>
      <c r="E49" s="87" t="str">
        <f t="shared" si="4"/>
        <v/>
      </c>
      <c r="F49" s="87" t="str">
        <f t="shared" si="5"/>
        <v/>
      </c>
      <c r="G49" s="111">
        <v>0</v>
      </c>
    </row>
    <row r="50" spans="1:7" x14ac:dyDescent="0.25">
      <c r="A50" s="118" t="str">
        <f t="shared" si="0"/>
        <v/>
      </c>
      <c r="B50" s="119" t="str">
        <f t="shared" si="1"/>
        <v/>
      </c>
      <c r="C50" s="119" t="str">
        <f t="shared" si="2"/>
        <v/>
      </c>
      <c r="D50" s="119" t="str">
        <f t="shared" si="3"/>
        <v/>
      </c>
      <c r="E50" s="119" t="str">
        <f t="shared" si="4"/>
        <v/>
      </c>
      <c r="F50" s="119" t="str">
        <f t="shared" si="5"/>
        <v/>
      </c>
      <c r="G50" s="125" t="str">
        <f>IF(B50="","",0)</f>
        <v/>
      </c>
    </row>
    <row r="51" spans="1:7" x14ac:dyDescent="0.25">
      <c r="A51" s="118" t="str">
        <f t="shared" si="0"/>
        <v/>
      </c>
      <c r="B51" s="120" t="str">
        <f t="shared" si="1"/>
        <v/>
      </c>
      <c r="C51" s="120" t="str">
        <f t="shared" si="2"/>
        <v/>
      </c>
      <c r="D51" s="120" t="str">
        <f t="shared" si="3"/>
        <v/>
      </c>
      <c r="E51" s="120" t="str">
        <f t="shared" si="4"/>
        <v/>
      </c>
      <c r="F51" s="120" t="str">
        <f t="shared" si="5"/>
        <v/>
      </c>
      <c r="G51" s="125">
        <v>0</v>
      </c>
    </row>
    <row r="52" spans="1:7" x14ac:dyDescent="0.25">
      <c r="A52" s="118" t="str">
        <f t="shared" si="0"/>
        <v/>
      </c>
      <c r="B52" s="120" t="str">
        <f t="shared" si="1"/>
        <v/>
      </c>
      <c r="C52" s="120" t="str">
        <f t="shared" si="2"/>
        <v/>
      </c>
      <c r="D52" s="120" t="str">
        <f t="shared" si="3"/>
        <v/>
      </c>
      <c r="E52" s="120" t="str">
        <f t="shared" si="4"/>
        <v/>
      </c>
      <c r="F52" s="120" t="str">
        <f t="shared" si="5"/>
        <v/>
      </c>
      <c r="G52" s="125">
        <v>0</v>
      </c>
    </row>
    <row r="53" spans="1:7" x14ac:dyDescent="0.25">
      <c r="A53" s="118" t="str">
        <f t="shared" si="0"/>
        <v/>
      </c>
      <c r="B53" s="120" t="str">
        <f t="shared" si="1"/>
        <v/>
      </c>
      <c r="C53" s="120" t="str">
        <f t="shared" si="2"/>
        <v/>
      </c>
      <c r="D53" s="120" t="str">
        <f t="shared" si="3"/>
        <v/>
      </c>
      <c r="E53" s="120" t="str">
        <f t="shared" si="4"/>
        <v/>
      </c>
      <c r="F53" s="120" t="str">
        <f t="shared" si="5"/>
        <v/>
      </c>
      <c r="G53" s="125">
        <v>0</v>
      </c>
    </row>
    <row r="54" spans="1:7" x14ac:dyDescent="0.25">
      <c r="A54" s="118" t="str">
        <f t="shared" si="0"/>
        <v/>
      </c>
      <c r="B54" s="119" t="str">
        <f t="shared" si="1"/>
        <v/>
      </c>
      <c r="C54" s="119" t="str">
        <f t="shared" si="2"/>
        <v/>
      </c>
      <c r="D54" s="119" t="str">
        <f t="shared" si="3"/>
        <v/>
      </c>
      <c r="E54" s="119" t="str">
        <f t="shared" si="4"/>
        <v/>
      </c>
      <c r="F54" s="119" t="str">
        <f t="shared" si="5"/>
        <v/>
      </c>
      <c r="G54" s="125" t="str">
        <f t="shared" ref="G54:G59" si="6">IF(B54="","",0)</f>
        <v/>
      </c>
    </row>
    <row r="55" spans="1:7" x14ac:dyDescent="0.25">
      <c r="A55" s="118" t="str">
        <f t="shared" si="0"/>
        <v/>
      </c>
      <c r="B55" s="121" t="str">
        <f t="shared" si="1"/>
        <v/>
      </c>
      <c r="C55" s="121" t="str">
        <f t="shared" si="2"/>
        <v/>
      </c>
      <c r="D55" s="121" t="str">
        <f t="shared" si="3"/>
        <v/>
      </c>
      <c r="E55" s="121" t="str">
        <f t="shared" si="4"/>
        <v/>
      </c>
      <c r="F55" s="121" t="str">
        <f t="shared" si="5"/>
        <v/>
      </c>
      <c r="G55" s="125" t="str">
        <f t="shared" si="6"/>
        <v/>
      </c>
    </row>
    <row r="56" spans="1:7" x14ac:dyDescent="0.25">
      <c r="A56" s="118" t="str">
        <f t="shared" si="0"/>
        <v/>
      </c>
      <c r="B56" s="119" t="str">
        <f t="shared" si="1"/>
        <v/>
      </c>
      <c r="C56" s="119" t="str">
        <f t="shared" si="2"/>
        <v/>
      </c>
      <c r="D56" s="119" t="str">
        <f t="shared" si="3"/>
        <v/>
      </c>
      <c r="E56" s="119" t="str">
        <f t="shared" si="4"/>
        <v/>
      </c>
      <c r="F56" s="119" t="str">
        <f t="shared" si="5"/>
        <v/>
      </c>
      <c r="G56" s="125" t="str">
        <f t="shared" si="6"/>
        <v/>
      </c>
    </row>
    <row r="57" spans="1:7" x14ac:dyDescent="0.25">
      <c r="A57" s="118" t="str">
        <f t="shared" si="0"/>
        <v/>
      </c>
      <c r="B57" s="121" t="str">
        <f t="shared" si="1"/>
        <v/>
      </c>
      <c r="C57" s="121" t="str">
        <f t="shared" si="2"/>
        <v/>
      </c>
      <c r="D57" s="121" t="str">
        <f t="shared" si="3"/>
        <v/>
      </c>
      <c r="E57" s="121" t="str">
        <f t="shared" si="4"/>
        <v/>
      </c>
      <c r="F57" s="121" t="str">
        <f t="shared" si="5"/>
        <v/>
      </c>
      <c r="G57" s="125" t="str">
        <f t="shared" si="6"/>
        <v/>
      </c>
    </row>
    <row r="58" spans="1:7" x14ac:dyDescent="0.25">
      <c r="A58" s="118" t="str">
        <f t="shared" si="0"/>
        <v/>
      </c>
      <c r="B58" s="119" t="str">
        <f t="shared" si="1"/>
        <v/>
      </c>
      <c r="C58" s="119" t="str">
        <f t="shared" si="2"/>
        <v/>
      </c>
      <c r="D58" s="119" t="str">
        <f t="shared" si="3"/>
        <v/>
      </c>
      <c r="E58" s="119" t="str">
        <f t="shared" si="4"/>
        <v/>
      </c>
      <c r="F58" s="119" t="str">
        <f t="shared" si="5"/>
        <v/>
      </c>
      <c r="G58" s="125" t="str">
        <f t="shared" si="6"/>
        <v/>
      </c>
    </row>
    <row r="59" spans="1:7" x14ac:dyDescent="0.25">
      <c r="A59" s="118" t="str">
        <f t="shared" si="0"/>
        <v/>
      </c>
      <c r="B59" s="121" t="str">
        <f t="shared" si="1"/>
        <v/>
      </c>
      <c r="C59" s="121" t="str">
        <f t="shared" si="2"/>
        <v/>
      </c>
      <c r="D59" s="121" t="str">
        <f t="shared" si="3"/>
        <v/>
      </c>
      <c r="E59" s="121" t="str">
        <f t="shared" si="4"/>
        <v/>
      </c>
      <c r="F59" s="121" t="str">
        <f t="shared" si="5"/>
        <v/>
      </c>
      <c r="G59" s="125" t="str">
        <f t="shared" si="6"/>
        <v/>
      </c>
    </row>
    <row r="60" spans="1:7" x14ac:dyDescent="0.25">
      <c r="A60" s="21" t="s">
        <v>35</v>
      </c>
      <c r="B60" s="21" t="s">
        <v>36</v>
      </c>
      <c r="C60" s="100">
        <f>IFERROR(SUM(C20:C59),"")</f>
        <v>61408.003271787835</v>
      </c>
      <c r="D60" s="100">
        <f>IFERROR(SUM(D20:D59),"")</f>
        <v>100000.00000000001</v>
      </c>
      <c r="E60" s="100">
        <f>IFERROR(SUM(E20:E59),"")</f>
        <v>161408.00327178783</v>
      </c>
      <c r="F60" s="21" t="s">
        <v>36</v>
      </c>
      <c r="G60" s="101">
        <f>IFERROR(SUMIF(B20:B59,"&gt;0",G20:G59),"")</f>
        <v>0</v>
      </c>
    </row>
    <row r="62" spans="1:7" x14ac:dyDescent="0.25">
      <c r="A62" t="s">
        <v>138</v>
      </c>
    </row>
    <row r="63" spans="1:7" x14ac:dyDescent="0.25">
      <c r="A63" s="21" t="s">
        <v>37</v>
      </c>
    </row>
  </sheetData>
  <sheetProtection algorithmName="SHA-512" hashValue="Dh/JwoFbljentygmeDEv8biXzIQwIOtIqcKO4ZOC7uk2CEjXpwlRe1KoL6cpa47Cl+6CB0Z+WiS8dZjyj2ekDQ==" saltValue="MaLybLijqqSbyRNlA7NYPw==" spinCount="100000" sheet="1" objects="1" scenarios="1" formatColumns="0" formatRows="0" autoFilter="0"/>
  <mergeCells count="4">
    <mergeCell ref="A5:F5"/>
    <mergeCell ref="A1:C3"/>
    <mergeCell ref="D1:G1"/>
    <mergeCell ref="D2:G2"/>
  </mergeCells>
  <conditionalFormatting sqref="A20:G50 A54:G59">
    <cfRule type="expression" dxfId="3" priority="4">
      <formula>$B20=""</formula>
    </cfRule>
  </conditionalFormatting>
  <conditionalFormatting sqref="B13">
    <cfRule type="expression" dxfId="2" priority="1">
      <formula>AND($C$9="Rate",$B$13&lt;=$I$6)</formula>
    </cfRule>
  </conditionalFormatting>
  <conditionalFormatting sqref="I8">
    <cfRule type="containsText" dxfId="1" priority="2" operator="containsText" text="niedrig">
      <formula>NOT(ISERROR(SEARCH("niedrig",I8)))</formula>
    </cfRule>
    <cfRule type="containsText" dxfId="0" priority="3" operator="containsText" text="OK">
      <formula>NOT(ISERROR(SEARCH("OK",I8)))</formula>
    </cfRule>
  </conditionalFormatting>
  <dataValidations count="1">
    <dataValidation type="list" allowBlank="1" showInputMessage="1" showErrorMessage="1" sqref="C9" xr:uid="{55EB3CC5-BE73-445C-8491-CB559B32231F}">
      <formula1>"Rate,Tilgung,Laufzeit"</formula1>
    </dataValidation>
  </dataValidation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D5B7-347C-4949-AEDF-338FC64B5E9B}">
  <dimension ref="A1:E35"/>
  <sheetViews>
    <sheetView workbookViewId="0">
      <selection activeCell="B13" sqref="B13"/>
    </sheetView>
  </sheetViews>
  <sheetFormatPr baseColWidth="10" defaultRowHeight="15" x14ac:dyDescent="0.25"/>
  <cols>
    <col min="1" max="1" width="34.28515625" customWidth="1"/>
    <col min="2" max="2" width="13.28515625" customWidth="1"/>
    <col min="3" max="3" width="19" customWidth="1"/>
    <col min="4" max="4" width="22.85546875" customWidth="1"/>
  </cols>
  <sheetData>
    <row r="1" spans="1:5" ht="18.75" x14ac:dyDescent="0.3">
      <c r="A1" s="131" t="s">
        <v>40</v>
      </c>
      <c r="B1" s="130"/>
      <c r="C1" s="130"/>
      <c r="D1" s="130"/>
      <c r="E1" s="130"/>
    </row>
    <row r="3" spans="1:5" x14ac:dyDescent="0.25">
      <c r="A3" s="29" t="s">
        <v>3</v>
      </c>
      <c r="D3" s="30" t="s">
        <v>44</v>
      </c>
      <c r="E3" s="31"/>
    </row>
    <row r="4" spans="1:5" x14ac:dyDescent="0.25">
      <c r="A4" t="s">
        <v>41</v>
      </c>
      <c r="B4" s="28">
        <v>180000</v>
      </c>
      <c r="D4" s="32" t="s">
        <v>45</v>
      </c>
      <c r="E4" s="33">
        <v>0.05</v>
      </c>
    </row>
    <row r="5" spans="1:5" x14ac:dyDescent="0.25">
      <c r="A5" t="s">
        <v>42</v>
      </c>
      <c r="B5" s="45" t="s">
        <v>56</v>
      </c>
      <c r="D5" s="32" t="s">
        <v>46</v>
      </c>
      <c r="E5" s="33">
        <v>3.5000000000000003E-2</v>
      </c>
    </row>
    <row r="6" spans="1:5" x14ac:dyDescent="0.25">
      <c r="D6" s="32" t="s">
        <v>47</v>
      </c>
      <c r="E6" s="33">
        <v>0.06</v>
      </c>
    </row>
    <row r="7" spans="1:5" x14ac:dyDescent="0.25">
      <c r="A7" s="29" t="s">
        <v>60</v>
      </c>
      <c r="D7" s="32" t="s">
        <v>48</v>
      </c>
      <c r="E7" s="33">
        <v>6.5000000000000002E-2</v>
      </c>
    </row>
    <row r="8" spans="1:5" x14ac:dyDescent="0.25">
      <c r="A8" s="21" t="s">
        <v>61</v>
      </c>
      <c r="B8" s="21" t="s">
        <v>62</v>
      </c>
      <c r="C8" s="21" t="s">
        <v>63</v>
      </c>
      <c r="D8" s="32" t="s">
        <v>49</v>
      </c>
      <c r="E8" s="33">
        <v>0.05</v>
      </c>
    </row>
    <row r="9" spans="1:5" x14ac:dyDescent="0.25">
      <c r="A9" t="s">
        <v>64</v>
      </c>
      <c r="B9" s="19">
        <f>IF(B4=0,"",IFERROR(VLOOKUP(B5,D4:E20,2,FALSE),0))</f>
        <v>5.5E-2</v>
      </c>
      <c r="C9" s="5">
        <f>IF(B4=0,"",B4*B9)</f>
        <v>9900</v>
      </c>
      <c r="D9" s="32" t="s">
        <v>50</v>
      </c>
      <c r="E9" s="33">
        <v>5.5E-2</v>
      </c>
    </row>
    <row r="10" spans="1:5" x14ac:dyDescent="0.25">
      <c r="A10" t="s">
        <v>65</v>
      </c>
      <c r="B10" s="46">
        <v>1.4999999999999999E-2</v>
      </c>
      <c r="C10" s="5">
        <f>IF(B4=0,"",B4*B10)</f>
        <v>2700</v>
      </c>
      <c r="D10" s="32" t="s">
        <v>51</v>
      </c>
      <c r="E10" s="33">
        <v>0.06</v>
      </c>
    </row>
    <row r="11" spans="1:5" x14ac:dyDescent="0.25">
      <c r="A11" t="s">
        <v>66</v>
      </c>
      <c r="B11" s="46">
        <v>5.0000000000000001E-3</v>
      </c>
      <c r="C11" s="5">
        <f>IF(B4=0,"",B4*B11)</f>
        <v>900</v>
      </c>
      <c r="D11" s="32" t="s">
        <v>52</v>
      </c>
      <c r="E11" s="33">
        <v>0.06</v>
      </c>
    </row>
    <row r="12" spans="1:5" x14ac:dyDescent="0.25">
      <c r="A12" t="s">
        <v>67</v>
      </c>
      <c r="B12" s="47">
        <v>3.5700000000000003E-2</v>
      </c>
      <c r="C12" s="5">
        <f>IF(B4=0,"",B4*B12)</f>
        <v>6426.0000000000009</v>
      </c>
      <c r="D12" s="32" t="s">
        <v>53</v>
      </c>
      <c r="E12" s="33">
        <v>0.05</v>
      </c>
    </row>
    <row r="13" spans="1:5" x14ac:dyDescent="0.25">
      <c r="A13" t="s">
        <v>70</v>
      </c>
      <c r="B13" s="34"/>
      <c r="C13" s="28">
        <v>100000</v>
      </c>
      <c r="D13" s="32"/>
      <c r="E13" s="33"/>
    </row>
    <row r="14" spans="1:5" x14ac:dyDescent="0.25">
      <c r="D14" s="32" t="s">
        <v>43</v>
      </c>
      <c r="E14" s="33">
        <v>6.5000000000000002E-2</v>
      </c>
    </row>
    <row r="15" spans="1:5" x14ac:dyDescent="0.25">
      <c r="A15" s="3" t="s">
        <v>68</v>
      </c>
      <c r="B15" s="35">
        <f>IF(B4=0,"",SUM(B9:B12))</f>
        <v>0.11070000000000002</v>
      </c>
      <c r="C15" s="36">
        <f>IF(B4=0,"",SUM(C9:C13))</f>
        <v>119926</v>
      </c>
      <c r="D15" s="32" t="s">
        <v>54</v>
      </c>
      <c r="E15" s="33">
        <v>0.05</v>
      </c>
    </row>
    <row r="16" spans="1:5" x14ac:dyDescent="0.25">
      <c r="D16" s="32" t="s">
        <v>55</v>
      </c>
      <c r="E16" s="33">
        <v>6.5000000000000002E-2</v>
      </c>
    </row>
    <row r="17" spans="1:5" ht="15.75" x14ac:dyDescent="0.25">
      <c r="A17" s="37" t="s">
        <v>69</v>
      </c>
      <c r="B17" s="38"/>
      <c r="C17" s="39">
        <f>IF(B4=0,"",B4+C15)</f>
        <v>299926</v>
      </c>
      <c r="D17" s="32" t="s">
        <v>56</v>
      </c>
      <c r="E17" s="33">
        <v>5.5E-2</v>
      </c>
    </row>
    <row r="18" spans="1:5" x14ac:dyDescent="0.25">
      <c r="D18" s="32" t="s">
        <v>57</v>
      </c>
      <c r="E18" s="33">
        <v>0.05</v>
      </c>
    </row>
    <row r="19" spans="1:5" x14ac:dyDescent="0.25">
      <c r="A19" s="40" t="s">
        <v>71</v>
      </c>
      <c r="D19" s="32" t="s">
        <v>58</v>
      </c>
      <c r="E19" s="33">
        <v>6.5000000000000002E-2</v>
      </c>
    </row>
    <row r="20" spans="1:5" x14ac:dyDescent="0.25">
      <c r="D20" s="41" t="s">
        <v>59</v>
      </c>
      <c r="E20" s="42">
        <v>0.05</v>
      </c>
    </row>
    <row r="21" spans="1:5" x14ac:dyDescent="0.25">
      <c r="A21" s="40" t="s">
        <v>72</v>
      </c>
    </row>
    <row r="22" spans="1:5" x14ac:dyDescent="0.25">
      <c r="A22" s="43" t="s">
        <v>73</v>
      </c>
    </row>
    <row r="23" spans="1:5" x14ac:dyDescent="0.25">
      <c r="A23" s="43" t="s">
        <v>74</v>
      </c>
    </row>
    <row r="24" spans="1:5" x14ac:dyDescent="0.25">
      <c r="A24" s="43" t="s">
        <v>75</v>
      </c>
    </row>
    <row r="25" spans="1:5" x14ac:dyDescent="0.25">
      <c r="A25" s="43" t="s">
        <v>76</v>
      </c>
    </row>
    <row r="26" spans="1:5" x14ac:dyDescent="0.25">
      <c r="A26" s="43" t="s">
        <v>77</v>
      </c>
    </row>
    <row r="27" spans="1:5" x14ac:dyDescent="0.25">
      <c r="A27" s="43" t="s">
        <v>78</v>
      </c>
    </row>
    <row r="29" spans="1:5" x14ac:dyDescent="0.25">
      <c r="A29" s="44" t="s">
        <v>79</v>
      </c>
    </row>
    <row r="30" spans="1:5" x14ac:dyDescent="0.25">
      <c r="A30" s="43" t="s">
        <v>80</v>
      </c>
    </row>
    <row r="31" spans="1:5" x14ac:dyDescent="0.25">
      <c r="A31" s="43" t="s">
        <v>81</v>
      </c>
    </row>
    <row r="32" spans="1:5" x14ac:dyDescent="0.25">
      <c r="A32" s="43" t="s">
        <v>82</v>
      </c>
    </row>
    <row r="33" spans="1:5" x14ac:dyDescent="0.25">
      <c r="A33" s="43" t="s">
        <v>83</v>
      </c>
    </row>
    <row r="35" spans="1:5" x14ac:dyDescent="0.25">
      <c r="A35" t="s">
        <v>85</v>
      </c>
      <c r="C35" s="43"/>
      <c r="D35" s="43"/>
      <c r="E35" s="43"/>
    </row>
  </sheetData>
  <sheetProtection algorithmName="SHA-512" hashValue="mR+JIvsKuwQ7hoH/SvQwUKQwt2KlPyyQ1qacwuzzokSuwhEazbc2I4hRyNnyD3gdZdibZVIGoCM6a2v2AulG0A==" saltValue="ACk15PFNE9aM4XHKJqwBaw==" spinCount="100000" sheet="1" objects="1" scenarios="1"/>
  <mergeCells count="1">
    <mergeCell ref="A1:E1"/>
  </mergeCells>
  <dataValidations count="1">
    <dataValidation type="list" allowBlank="1" showInputMessage="1" showErrorMessage="1" errorTitle="Ungültige Eingabe" error="Bitte wählen Sie ein Bundesland aus der Dropdown-Liste." promptTitle="Bundesland wählen" prompt="Wählen Sie ein Bundesland aus der Liste" sqref="B5" xr:uid="{D5829FFE-A29B-4DA1-9EF1-F39663A9A493}">
      <formula1>$D$4:$D$20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F386B-CC49-4EB4-90FE-34238EF91282}">
  <dimension ref="A1:H43"/>
  <sheetViews>
    <sheetView workbookViewId="0">
      <selection activeCell="A16" sqref="A16"/>
    </sheetView>
  </sheetViews>
  <sheetFormatPr baseColWidth="10" defaultRowHeight="15" x14ac:dyDescent="0.25"/>
  <cols>
    <col min="1" max="1" width="38.140625" customWidth="1"/>
    <col min="2" max="2" width="19" customWidth="1"/>
    <col min="3" max="3" width="15.28515625" customWidth="1"/>
    <col min="4" max="4" width="34.28515625" customWidth="1"/>
    <col min="5" max="5" width="22.85546875" customWidth="1"/>
    <col min="6" max="6" width="19" customWidth="1"/>
    <col min="8" max="8" width="0" hidden="1" customWidth="1"/>
  </cols>
  <sheetData>
    <row r="1" spans="1:8" ht="30" customHeight="1" x14ac:dyDescent="0.3">
      <c r="A1" s="132" t="s">
        <v>86</v>
      </c>
      <c r="B1" s="130"/>
      <c r="C1" s="130"/>
      <c r="D1" s="130"/>
      <c r="E1" s="130"/>
      <c r="F1" s="130"/>
      <c r="H1" t="s">
        <v>128</v>
      </c>
    </row>
    <row r="2" spans="1:8" x14ac:dyDescent="0.25">
      <c r="H2" s="1">
        <v>12</v>
      </c>
    </row>
    <row r="3" spans="1:8" x14ac:dyDescent="0.25">
      <c r="A3" s="2" t="s">
        <v>87</v>
      </c>
      <c r="D3" s="3" t="s">
        <v>104</v>
      </c>
      <c r="H3" s="1">
        <v>12.5</v>
      </c>
    </row>
    <row r="4" spans="1:8" x14ac:dyDescent="0.25">
      <c r="A4" t="s">
        <v>88</v>
      </c>
      <c r="B4" s="22">
        <v>2000</v>
      </c>
      <c r="D4" t="s">
        <v>105</v>
      </c>
      <c r="E4" s="5">
        <f>IF(B4+B10=0,"",B4*(B5/12)+B10*(B11/12)+B6+B12)</f>
        <v>4166.666666666667</v>
      </c>
      <c r="H4" s="1">
        <v>13</v>
      </c>
    </row>
    <row r="5" spans="1:8" x14ac:dyDescent="0.25">
      <c r="A5" t="s">
        <v>127</v>
      </c>
      <c r="B5" s="23">
        <v>12.5</v>
      </c>
      <c r="E5" s="5"/>
    </row>
    <row r="6" spans="1:8" x14ac:dyDescent="0.25">
      <c r="A6" t="s">
        <v>89</v>
      </c>
      <c r="B6" s="22"/>
      <c r="D6" t="s">
        <v>106</v>
      </c>
      <c r="E6" s="5">
        <f>IF(B4+B10=0,"",B16+B17+B18+B19+(B21*250)+B22)</f>
        <v>3200</v>
      </c>
    </row>
    <row r="7" spans="1:8" x14ac:dyDescent="0.25">
      <c r="A7" t="s">
        <v>121</v>
      </c>
      <c r="B7" s="24">
        <v>1</v>
      </c>
      <c r="D7" t="s">
        <v>122</v>
      </c>
      <c r="E7" s="6">
        <f>IF(B7+B13=0,"",B7+B13)</f>
        <v>1</v>
      </c>
    </row>
    <row r="8" spans="1:8" x14ac:dyDescent="0.25">
      <c r="D8" t="s">
        <v>123</v>
      </c>
      <c r="E8" s="5">
        <f>IF(B7+B13=0,"",(B7+B13)*250)</f>
        <v>250</v>
      </c>
    </row>
    <row r="9" spans="1:8" x14ac:dyDescent="0.25">
      <c r="A9" s="2" t="s">
        <v>90</v>
      </c>
      <c r="D9" t="s">
        <v>107</v>
      </c>
      <c r="E9" s="7">
        <f>IF(OR(B4+B10=0,E4=""),"",MIN(E4-E6-E8,E4*0.4))</f>
        <v>716.66666666666697</v>
      </c>
    </row>
    <row r="10" spans="1:8" x14ac:dyDescent="0.25">
      <c r="A10" t="s">
        <v>88</v>
      </c>
      <c r="B10" s="22">
        <v>2000</v>
      </c>
      <c r="D10" t="s">
        <v>125</v>
      </c>
      <c r="E10" s="5">
        <f>IF(OR(B4+B10=0,E4=""),"",E4*0.4)</f>
        <v>1666.666666666667</v>
      </c>
    </row>
    <row r="11" spans="1:8" x14ac:dyDescent="0.25">
      <c r="A11" t="s">
        <v>127</v>
      </c>
      <c r="B11" s="23">
        <v>12.5</v>
      </c>
      <c r="E11" s="5"/>
    </row>
    <row r="12" spans="1:8" x14ac:dyDescent="0.25">
      <c r="A12" t="s">
        <v>89</v>
      </c>
      <c r="B12" s="22">
        <v>0</v>
      </c>
      <c r="D12" t="s">
        <v>129</v>
      </c>
      <c r="E12" s="8">
        <f>IF(OR(B25=0,B27=0),"",(B25/12)/(1-(1+B25/12)^(-B27*12)))</f>
        <v>5.1685656169072761E-3</v>
      </c>
    </row>
    <row r="13" spans="1:8" x14ac:dyDescent="0.25">
      <c r="A13" t="s">
        <v>121</v>
      </c>
      <c r="B13" s="24"/>
    </row>
    <row r="15" spans="1:8" x14ac:dyDescent="0.25">
      <c r="A15" s="2" t="s">
        <v>91</v>
      </c>
      <c r="D15" s="9" t="s">
        <v>4</v>
      </c>
      <c r="E15" s="10"/>
    </row>
    <row r="16" spans="1:8" ht="15.75" thickBot="1" x14ac:dyDescent="0.3">
      <c r="A16" t="s">
        <v>92</v>
      </c>
      <c r="B16" s="22">
        <v>1500</v>
      </c>
      <c r="D16" s="11" t="s">
        <v>108</v>
      </c>
      <c r="E16" s="12">
        <f>IF(OR(E9="",E12=""),"",E9/E12)</f>
        <v>138658.71496771285</v>
      </c>
    </row>
    <row r="17" spans="1:6" ht="17.25" thickTop="1" thickBot="1" x14ac:dyDescent="0.3">
      <c r="A17" t="s">
        <v>93</v>
      </c>
      <c r="B17" s="22">
        <v>500</v>
      </c>
      <c r="D17" s="11" t="s">
        <v>109</v>
      </c>
      <c r="E17" s="13">
        <f>IF(E16="","",(E16+B28-B30)/(1+B29))</f>
        <v>78807.746637966979</v>
      </c>
    </row>
    <row r="18" spans="1:6" ht="15.75" thickTop="1" x14ac:dyDescent="0.25">
      <c r="A18" t="s">
        <v>94</v>
      </c>
      <c r="B18" s="22">
        <v>300</v>
      </c>
      <c r="D18" s="11" t="s">
        <v>110</v>
      </c>
      <c r="E18" s="14">
        <f>IF(E17="","",E17*B29)</f>
        <v>9850.9683297458723</v>
      </c>
    </row>
    <row r="19" spans="1:6" x14ac:dyDescent="0.25">
      <c r="A19" t="s">
        <v>95</v>
      </c>
      <c r="B19" s="22">
        <v>150</v>
      </c>
      <c r="D19" s="11" t="s">
        <v>134</v>
      </c>
      <c r="E19" s="14">
        <f>IF(B30=0,"",B30)</f>
        <v>50000</v>
      </c>
    </row>
    <row r="20" spans="1:6" x14ac:dyDescent="0.25">
      <c r="B20" s="4"/>
      <c r="D20" s="11" t="s">
        <v>133</v>
      </c>
      <c r="E20" s="14">
        <f>IF(E17="","",E17+E18+B30)</f>
        <v>138658.71496771285</v>
      </c>
    </row>
    <row r="21" spans="1:6" x14ac:dyDescent="0.25">
      <c r="A21" t="s">
        <v>130</v>
      </c>
      <c r="B21" s="25">
        <v>1</v>
      </c>
      <c r="C21" t="s">
        <v>131</v>
      </c>
      <c r="D21" s="11"/>
      <c r="E21" s="14"/>
    </row>
    <row r="22" spans="1:6" x14ac:dyDescent="0.25">
      <c r="A22" t="s">
        <v>96</v>
      </c>
      <c r="B22" s="22">
        <v>500</v>
      </c>
      <c r="D22" s="11" t="s">
        <v>111</v>
      </c>
      <c r="E22" s="14">
        <f>IF(E20="","",E20-B28)</f>
        <v>138658.71496771285</v>
      </c>
    </row>
    <row r="23" spans="1:6" x14ac:dyDescent="0.25">
      <c r="D23" s="11" t="s">
        <v>9</v>
      </c>
      <c r="E23" s="15">
        <f>IF(OR(E22="",E12=""),"",E22*E12)</f>
        <v>716.66666666666686</v>
      </c>
    </row>
    <row r="24" spans="1:6" x14ac:dyDescent="0.25">
      <c r="A24" s="2" t="s">
        <v>97</v>
      </c>
      <c r="D24" s="16" t="s">
        <v>112</v>
      </c>
      <c r="E24" s="17">
        <f>IF(E23="","",E23*12)</f>
        <v>8600.0000000000018</v>
      </c>
    </row>
    <row r="25" spans="1:6" x14ac:dyDescent="0.25">
      <c r="A25" t="s">
        <v>98</v>
      </c>
      <c r="B25" s="26">
        <v>3.7999999999999999E-2</v>
      </c>
    </row>
    <row r="26" spans="1:6" x14ac:dyDescent="0.25">
      <c r="A26" t="s">
        <v>99</v>
      </c>
      <c r="B26" s="26">
        <v>0.02</v>
      </c>
      <c r="D26" s="18" t="s">
        <v>113</v>
      </c>
    </row>
    <row r="27" spans="1:6" x14ac:dyDescent="0.25">
      <c r="A27" t="s">
        <v>100</v>
      </c>
      <c r="B27" s="24">
        <v>25</v>
      </c>
      <c r="D27" t="s">
        <v>114</v>
      </c>
      <c r="E27" s="19">
        <f>IF(OR(E23="",E4=""),"",E23/E4)</f>
        <v>0.17200000000000004</v>
      </c>
      <c r="F27" t="str">
        <f>IF(E27="","",IF(E27&lt;=0.4,"✓ Gut","⚠️ Hoch"))</f>
        <v>✓ Gut</v>
      </c>
    </row>
    <row r="28" spans="1:6" x14ac:dyDescent="0.25">
      <c r="A28" t="s">
        <v>101</v>
      </c>
      <c r="B28" s="22">
        <v>0</v>
      </c>
      <c r="D28" t="s">
        <v>115</v>
      </c>
      <c r="E28" s="19">
        <f>IF(OR(E20="",E20=0),"",B28/E20)</f>
        <v>0</v>
      </c>
      <c r="F28" t="str">
        <f>IF(E28="","",IF(E28&gt;=0.2,"✓ Gut","❌ Zu wenig"))</f>
        <v>❌ Zu wenig</v>
      </c>
    </row>
    <row r="29" spans="1:6" x14ac:dyDescent="0.25">
      <c r="A29" t="s">
        <v>102</v>
      </c>
      <c r="B29" s="27">
        <v>0.125</v>
      </c>
      <c r="C29" s="20" t="s">
        <v>103</v>
      </c>
      <c r="D29" t="s">
        <v>116</v>
      </c>
      <c r="E29" s="1">
        <f>IF(OR(E22="",E4=""),"",E22/(E4*12))</f>
        <v>2.773174299354257</v>
      </c>
      <c r="F29" t="str">
        <f>IF(E29="","","Jahre")</f>
        <v>Jahre</v>
      </c>
    </row>
    <row r="30" spans="1:6" x14ac:dyDescent="0.25">
      <c r="A30" t="s">
        <v>132</v>
      </c>
      <c r="B30" s="28">
        <v>50000</v>
      </c>
      <c r="C30" s="20"/>
      <c r="E30" s="1"/>
    </row>
    <row r="32" spans="1:6" x14ac:dyDescent="0.25">
      <c r="A32" s="21" t="s">
        <v>117</v>
      </c>
    </row>
    <row r="33" spans="1:1" x14ac:dyDescent="0.25">
      <c r="A33" t="s">
        <v>126</v>
      </c>
    </row>
    <row r="34" spans="1:1" x14ac:dyDescent="0.25">
      <c r="A34" t="s">
        <v>136</v>
      </c>
    </row>
    <row r="35" spans="1:1" x14ac:dyDescent="0.25">
      <c r="A35" t="s">
        <v>124</v>
      </c>
    </row>
    <row r="36" spans="1:1" x14ac:dyDescent="0.25">
      <c r="A36" t="s">
        <v>118</v>
      </c>
    </row>
    <row r="38" spans="1:1" x14ac:dyDescent="0.25">
      <c r="A38" s="21" t="s">
        <v>79</v>
      </c>
    </row>
    <row r="39" spans="1:1" x14ac:dyDescent="0.25">
      <c r="A39" t="s">
        <v>80</v>
      </c>
    </row>
    <row r="40" spans="1:1" x14ac:dyDescent="0.25">
      <c r="A40" t="s">
        <v>119</v>
      </c>
    </row>
    <row r="41" spans="1:1" x14ac:dyDescent="0.25">
      <c r="A41" t="s">
        <v>120</v>
      </c>
    </row>
    <row r="43" spans="1:1" x14ac:dyDescent="0.25">
      <c r="A43" t="s">
        <v>135</v>
      </c>
    </row>
  </sheetData>
  <sheetProtection algorithmName="SHA-512" hashValue="BOXYb/ujOhVU/p1u8x9/HdvGLVuX1Sq7XYkQ1Zsr4RCGMurwalTZtkK01FMode6oOdFvqqNISiLOFwWOylYLNg==" saltValue="MJBJ8+Em+B62IavjjHhR2A==" spinCount="100000" sheet="1" objects="1" scenarios="1"/>
  <mergeCells count="1">
    <mergeCell ref="A1:F1"/>
  </mergeCells>
  <dataValidations count="1">
    <dataValidation type="list" allowBlank="1" showInputMessage="1" showErrorMessage="1" sqref="B5 B11" xr:uid="{D33BF82C-7A37-4AFF-B56B-4B3A03EFF104}">
      <formula1>$H$2:$H$4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Darlehenrechner</vt:lpstr>
      <vt:lpstr>Nebenkostenrechner</vt:lpstr>
      <vt:lpstr>Leistbar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Meißner</dc:creator>
  <cp:keywords/>
  <dc:description/>
  <cp:lastModifiedBy>Thomas Meißner</cp:lastModifiedBy>
  <cp:revision/>
  <dcterms:created xsi:type="dcterms:W3CDTF">2026-06-04T06:38:22Z</dcterms:created>
  <dcterms:modified xsi:type="dcterms:W3CDTF">2026-08-22T16:24:28Z</dcterms:modified>
  <cp:category/>
  <cp:contentStatus/>
</cp:coreProperties>
</file>